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ulia.f\Downloads\"/>
    </mc:Choice>
  </mc:AlternateContent>
  <xr:revisionPtr revIDLastSave="0" documentId="13_ncr:1_{DFE82FEC-6013-48E8-80EA-52723CEE61E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yslip" sheetId="9" r:id="rId1"/>
    <sheet name="PAYE Weekly" sheetId="6" state="veryHidden" r:id="rId2"/>
    <sheet name="PAYE Fortnightly" sheetId="5" state="veryHidden" r:id="rId3"/>
    <sheet name="PAYE Monthly" sheetId="4" state="veryHidden" r:id="rId4"/>
    <sheet name="Kiwisaver Rates" sheetId="8" state="veryHidden" r:id="rId5"/>
    <sheet name="Tax Codes" sheetId="7" state="veryHidden" r:id="rId6"/>
    <sheet name="Pay Periods" sheetId="10" state="veryHidden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5" l="1"/>
  <c r="E8" i="6"/>
  <c r="D8" i="6"/>
  <c r="C8" i="6"/>
  <c r="C72" i="6" l="1"/>
  <c r="D39" i="9"/>
  <c r="D37" i="9"/>
  <c r="H15" i="9"/>
  <c r="H27" i="9"/>
  <c r="H28" i="9"/>
  <c r="H20" i="9"/>
  <c r="H21" i="9"/>
  <c r="H22" i="9"/>
  <c r="H23" i="9"/>
  <c r="H19" i="9"/>
  <c r="H24" i="9" s="1"/>
  <c r="M19" i="4" l="1"/>
  <c r="M19" i="5"/>
  <c r="M19" i="6"/>
  <c r="E3" i="6"/>
  <c r="A16" i="6" s="1"/>
  <c r="B16" i="6" s="1"/>
  <c r="E3" i="5"/>
  <c r="E3" i="4"/>
  <c r="H16" i="9"/>
  <c r="H17" i="9" l="1"/>
  <c r="D35" i="9" l="1"/>
  <c r="F31" i="9" s="1"/>
  <c r="H31" i="9" s="1"/>
  <c r="F26" i="9" l="1"/>
  <c r="H26" i="9" s="1"/>
  <c r="B3" i="5"/>
  <c r="A3" i="4"/>
  <c r="D3" i="6"/>
  <c r="A44" i="5"/>
  <c r="B44" i="5" s="1"/>
  <c r="C44" i="5" s="1"/>
  <c r="A44" i="6"/>
  <c r="B44" i="6" s="1"/>
  <c r="C44" i="6" s="1"/>
  <c r="A76" i="4"/>
  <c r="B76" i="4" s="1"/>
  <c r="C76" i="4" s="1"/>
  <c r="H29" i="9" l="1"/>
  <c r="H36" i="9" s="1"/>
  <c r="A36" i="4"/>
  <c r="B36" i="4" s="1"/>
  <c r="C36" i="4" s="1"/>
  <c r="A48" i="6"/>
  <c r="B48" i="6" s="1"/>
  <c r="C48" i="6" s="1"/>
  <c r="A52" i="4"/>
  <c r="B52" i="4" s="1"/>
  <c r="C52" i="4" s="1"/>
  <c r="A28" i="5"/>
  <c r="B28" i="5" s="1"/>
  <c r="C28" i="5" s="1"/>
  <c r="A40" i="4"/>
  <c r="B40" i="4" s="1"/>
  <c r="C40" i="4" s="1"/>
  <c r="A56" i="4"/>
  <c r="B56" i="4" s="1"/>
  <c r="C56" i="4" s="1"/>
  <c r="A44" i="4"/>
  <c r="B44" i="4" s="1"/>
  <c r="C44" i="4" s="1"/>
  <c r="A24" i="6"/>
  <c r="B24" i="6" s="1"/>
  <c r="C24" i="6" s="1"/>
  <c r="A48" i="4"/>
  <c r="B48" i="4" s="1"/>
  <c r="C48" i="4" s="1"/>
  <c r="A28" i="6"/>
  <c r="B28" i="6" s="1"/>
  <c r="C28" i="6" s="1"/>
  <c r="A60" i="4"/>
  <c r="B60" i="4" s="1"/>
  <c r="C60" i="4" s="1"/>
  <c r="A32" i="6"/>
  <c r="B32" i="6" s="1"/>
  <c r="C32" i="6" s="1"/>
  <c r="A24" i="5"/>
  <c r="B24" i="5" s="1"/>
  <c r="C24" i="5" s="1"/>
  <c r="A52" i="6"/>
  <c r="B52" i="6" s="1"/>
  <c r="C52" i="6" s="1"/>
  <c r="A32" i="5"/>
  <c r="B32" i="5" s="1"/>
  <c r="C32" i="5" s="1"/>
  <c r="A56" i="6"/>
  <c r="B56" i="6" s="1"/>
  <c r="C56" i="6" s="1"/>
  <c r="A48" i="5"/>
  <c r="B48" i="5" s="1"/>
  <c r="C48" i="5" s="1"/>
  <c r="A68" i="6"/>
  <c r="A52" i="5"/>
  <c r="B52" i="5" s="1"/>
  <c r="C52" i="5" s="1"/>
  <c r="A56" i="5"/>
  <c r="B56" i="5" s="1"/>
  <c r="C56" i="5" s="1"/>
  <c r="A64" i="4"/>
  <c r="B64" i="4" s="1"/>
  <c r="C64" i="4" s="1"/>
  <c r="A68" i="5"/>
  <c r="A24" i="4"/>
  <c r="B24" i="4" s="1"/>
  <c r="C24" i="4" s="1"/>
  <c r="A28" i="4"/>
  <c r="B28" i="4" s="1"/>
  <c r="C28" i="4" s="1"/>
  <c r="A32" i="4"/>
  <c r="B32" i="4" s="1"/>
  <c r="C32" i="4" s="1"/>
  <c r="A36" i="5"/>
  <c r="B36" i="5" s="1"/>
  <c r="C36" i="5" s="1"/>
  <c r="A72" i="5"/>
  <c r="B72" i="5" s="1"/>
  <c r="A16" i="5"/>
  <c r="B16" i="5" s="1"/>
  <c r="C16" i="5" s="1"/>
  <c r="A60" i="5"/>
  <c r="B60" i="5" s="1"/>
  <c r="C60" i="5" s="1"/>
  <c r="A40" i="5"/>
  <c r="B40" i="5" s="1"/>
  <c r="C40" i="5" s="1"/>
  <c r="A20" i="5"/>
  <c r="B20" i="5" s="1"/>
  <c r="C20" i="5" s="1"/>
  <c r="A76" i="5"/>
  <c r="B76" i="5" s="1"/>
  <c r="C76" i="5" s="1"/>
  <c r="A64" i="5"/>
  <c r="B64" i="5" s="1"/>
  <c r="C64" i="5" s="1"/>
  <c r="A72" i="6"/>
  <c r="B72" i="6" s="1"/>
  <c r="C16" i="6"/>
  <c r="A60" i="6"/>
  <c r="B60" i="6" s="1"/>
  <c r="C60" i="6" s="1"/>
  <c r="A40" i="6"/>
  <c r="B40" i="6" s="1"/>
  <c r="C40" i="6" s="1"/>
  <c r="A36" i="6"/>
  <c r="B36" i="6" s="1"/>
  <c r="C36" i="6" s="1"/>
  <c r="A20" i="6"/>
  <c r="B20" i="6" s="1"/>
  <c r="C20" i="6" s="1"/>
  <c r="A76" i="6"/>
  <c r="B76" i="6" s="1"/>
  <c r="C76" i="6" s="1"/>
  <c r="A64" i="6"/>
  <c r="B64" i="6" s="1"/>
  <c r="C64" i="6" s="1"/>
  <c r="A68" i="4"/>
  <c r="A16" i="4"/>
  <c r="B16" i="4" s="1"/>
  <c r="C16" i="4" s="1"/>
  <c r="A72" i="4"/>
  <c r="B72" i="4" s="1"/>
  <c r="A20" i="4"/>
  <c r="B20" i="4" s="1"/>
  <c r="C20" i="4" s="1"/>
  <c r="C72" i="4"/>
  <c r="B68" i="5" l="1"/>
  <c r="C68" i="5" s="1"/>
  <c r="B68" i="6"/>
  <c r="C68" i="6" s="1"/>
  <c r="D72" i="4"/>
  <c r="D72" i="5"/>
  <c r="D72" i="6"/>
  <c r="E68" i="6" l="1"/>
  <c r="D68" i="6"/>
  <c r="D68" i="5"/>
  <c r="E68" i="5"/>
  <c r="F3" i="5"/>
  <c r="A8" i="5"/>
  <c r="B8" i="5" s="1"/>
  <c r="C8" i="5" s="1"/>
  <c r="N18" i="5" s="1"/>
  <c r="N19" i="5" s="1"/>
  <c r="N20" i="5" s="1"/>
  <c r="N22" i="5" s="1"/>
  <c r="N23" i="5" s="1"/>
  <c r="A12" i="5"/>
  <c r="B12" i="5" s="1"/>
  <c r="D12" i="5" s="1"/>
  <c r="H3" i="5" s="1"/>
  <c r="F3" i="4"/>
  <c r="A8" i="4"/>
  <c r="B8" i="4" s="1"/>
  <c r="C8" i="4" s="1"/>
  <c r="N18" i="4" s="1"/>
  <c r="N19" i="4" s="1"/>
  <c r="N20" i="4" s="1"/>
  <c r="N22" i="4" s="1"/>
  <c r="N23" i="4" s="1"/>
  <c r="A12" i="4"/>
  <c r="B12" i="4" s="1"/>
  <c r="D12" i="4" s="1"/>
  <c r="H3" i="4" s="1"/>
  <c r="F3" i="6"/>
  <c r="A8" i="6"/>
  <c r="B8" i="6" s="1"/>
  <c r="N18" i="6" s="1"/>
  <c r="A12" i="6"/>
  <c r="B12" i="6" s="1"/>
  <c r="D12" i="6" s="1"/>
  <c r="H3" i="6" s="1"/>
  <c r="H37" i="9" s="1"/>
  <c r="B68" i="4"/>
  <c r="C68" i="4" s="1"/>
  <c r="N19" i="6" l="1"/>
  <c r="N20" i="6" s="1"/>
  <c r="G68" i="6"/>
  <c r="H68" i="6" s="1"/>
  <c r="I68" i="6" s="1"/>
  <c r="D8" i="4"/>
  <c r="E8" i="4"/>
  <c r="D8" i="5"/>
  <c r="E8" i="5"/>
  <c r="G68" i="5"/>
  <c r="H68" i="5" s="1"/>
  <c r="I68" i="5" s="1"/>
  <c r="F8" i="6"/>
  <c r="E68" i="4"/>
  <c r="D68" i="4"/>
  <c r="N22" i="6" l="1"/>
  <c r="N23" i="6" s="1"/>
  <c r="H32" i="9" s="1"/>
  <c r="H33" i="9" s="1"/>
  <c r="H39" i="9" s="1"/>
  <c r="G68" i="4"/>
  <c r="H68" i="4" s="1"/>
  <c r="I68" i="4" s="1"/>
  <c r="G8" i="6"/>
  <c r="H8" i="6" s="1"/>
  <c r="G3" i="6" s="1"/>
  <c r="H35" i="9" s="1"/>
  <c r="H38" i="9" s="1"/>
  <c r="F8" i="5"/>
  <c r="G8" i="5" s="1"/>
  <c r="H8" i="5" s="1"/>
  <c r="G3" i="5" s="1"/>
  <c r="F8" i="4"/>
  <c r="G8" i="4" l="1"/>
  <c r="H8" i="4" s="1"/>
  <c r="I3" i="5"/>
  <c r="I3" i="6"/>
  <c r="G3" i="4" l="1"/>
  <c r="I3" i="4" s="1"/>
  <c r="H42" i="9" l="1"/>
</calcChain>
</file>

<file path=xl/sharedStrings.xml><?xml version="1.0" encoding="utf-8"?>
<sst xmlns="http://schemas.openxmlformats.org/spreadsheetml/2006/main" count="451" uniqueCount="138">
  <si>
    <t>PAYSLIP</t>
  </si>
  <si>
    <t>Business Logo</t>
  </si>
  <si>
    <t>Business name</t>
  </si>
  <si>
    <t>Business address</t>
  </si>
  <si>
    <t>Disclaimer: The content of this template is to assist calculation of payslips and not intended as a source of truth or a substitute for other PAYE calculators. This template should not be used a substitute for professional advice or services. Smartly is not held responsible for the individual's use of the template.</t>
  </si>
  <si>
    <t>Contact number</t>
  </si>
  <si>
    <t>Employee Name</t>
  </si>
  <si>
    <t>User Notes:</t>
  </si>
  <si>
    <t>Pay Frequency</t>
  </si>
  <si>
    <t>Weekly</t>
  </si>
  <si>
    <t>Period End</t>
  </si>
  <si>
    <t>dd/mm/yy</t>
  </si>
  <si>
    <t>Tax Code</t>
  </si>
  <si>
    <t>M</t>
  </si>
  <si>
    <t xml:space="preserve">2. One-off payments such as bonuses and commissions are taxed at different rates.  If you need to include one-off payments, you will need to use a comprehensive payroll solution such as "Smartly". </t>
  </si>
  <si>
    <t>Pay Date</t>
  </si>
  <si>
    <t>IRD Number</t>
  </si>
  <si>
    <t>000-000-000</t>
  </si>
  <si>
    <t>3. Click in the 'greyed' boxes to enter or select your payslip details.</t>
  </si>
  <si>
    <t>4. The calculation of PAYE in the calculator may differ slightly from the IR PAYE booklet.</t>
  </si>
  <si>
    <t>Payment type</t>
  </si>
  <si>
    <t>Rate</t>
  </si>
  <si>
    <t>Hours</t>
  </si>
  <si>
    <t>Amount</t>
  </si>
  <si>
    <t xml:space="preserve">Salary </t>
  </si>
  <si>
    <t>Normal hours</t>
  </si>
  <si>
    <t>What you can't use this calculator for:</t>
  </si>
  <si>
    <t>Extra hours</t>
  </si>
  <si>
    <t>1. Extra pays (eg, redundancy, retiring allowance, overseas living allowance, special bonuses, back pay)</t>
  </si>
  <si>
    <t>2. Holiday pay paid as a lump sum on termination of employment unless paid to a non-resident seasonal worker</t>
  </si>
  <si>
    <t>Leave type</t>
  </si>
  <si>
    <t>3. Schedular payments</t>
  </si>
  <si>
    <t>Annual Leave</t>
  </si>
  <si>
    <t>4. Employees with a special tax code or a student loan special deduction rate</t>
  </si>
  <si>
    <t>Statutory leave</t>
  </si>
  <si>
    <t>5. Employees who have child support deductions and you are performing a net calculation</t>
  </si>
  <si>
    <t>Sick Leave</t>
  </si>
  <si>
    <t>6. Employees who are KiwiSaver members and have excluded income in their gross salary or wages</t>
  </si>
  <si>
    <t>Leave Without Pay</t>
  </si>
  <si>
    <t>7. Employees who are members of registered superannuation schemes (RSS) or defined benefit plans (DBP), if you're using this calculator for employer contributions</t>
  </si>
  <si>
    <t>Other</t>
  </si>
  <si>
    <t>8. Student loan deductions with non-standard student loan rates or additional required deductions</t>
  </si>
  <si>
    <t>Deductions</t>
  </si>
  <si>
    <t>Quantity</t>
  </si>
  <si>
    <t>KiwiSaver</t>
  </si>
  <si>
    <t>Benefits</t>
  </si>
  <si>
    <t>Kiwisaver CEC</t>
  </si>
  <si>
    <t>Less ESCT</t>
  </si>
  <si>
    <t>Summary</t>
  </si>
  <si>
    <t>Pay &amp; Leave</t>
  </si>
  <si>
    <t>PAYE (including earner levy)</t>
  </si>
  <si>
    <t>Taxable Allowances</t>
  </si>
  <si>
    <t>Gross Taxable</t>
  </si>
  <si>
    <t>Student Loan</t>
  </si>
  <si>
    <t>Non-Taxable Allowances</t>
  </si>
  <si>
    <t>Net Pay</t>
  </si>
  <si>
    <t>Gross Pay</t>
  </si>
  <si>
    <t>Benefits (net)</t>
  </si>
  <si>
    <t>Direct Credit Details</t>
  </si>
  <si>
    <t>Primary Bank Account</t>
  </si>
  <si>
    <t>00-0000-0000000-000</t>
  </si>
  <si>
    <t>Ordinary Pay Tax Calculator: 01 April 2021 - 31 March 2022</t>
  </si>
  <si>
    <t>Monthly</t>
  </si>
  <si>
    <t>Fortnightly</t>
  </si>
  <si>
    <t>Four-Weekly</t>
  </si>
  <si>
    <t>Periods A Year</t>
  </si>
  <si>
    <t>PAYE</t>
  </si>
  <si>
    <t>Old</t>
  </si>
  <si>
    <t>New</t>
  </si>
  <si>
    <t xml:space="preserve">Weekly </t>
  </si>
  <si>
    <t xml:space="preserve">Fortnightly </t>
  </si>
  <si>
    <t>Earner Levy Rate</t>
  </si>
  <si>
    <t>Annual Max EP threshold</t>
  </si>
  <si>
    <t>Annual Max EP per year</t>
  </si>
  <si>
    <t>M &amp; M SL Tax Codes - PAYE Calculation</t>
  </si>
  <si>
    <t>Period Income</t>
  </si>
  <si>
    <t>Annual Amt</t>
  </si>
  <si>
    <t>Trunc Annual Amt</t>
  </si>
  <si>
    <t>Annual Tax</t>
  </si>
  <si>
    <t>Earners Levy</t>
  </si>
  <si>
    <t>Annual Deductions</t>
  </si>
  <si>
    <t>Weekly Deductions</t>
  </si>
  <si>
    <t>SL Threshold</t>
  </si>
  <si>
    <t>MSL Tax Code - Student Loan Calculation</t>
  </si>
  <si>
    <t>Combined
 Salary &amp; CEC
Bands</t>
  </si>
  <si>
    <t>Combined
 Salary &amp; CEC
Thresholds</t>
  </si>
  <si>
    <t>ESCT rates</t>
  </si>
  <si>
    <t>Pay Amount</t>
  </si>
  <si>
    <t>Whole Dollars</t>
  </si>
  <si>
    <t>SL Theshold</t>
  </si>
  <si>
    <t>$0 - $16,800</t>
  </si>
  <si>
    <t>$16,801 - $57,600</t>
  </si>
  <si>
    <t>$57,601 - $84,000</t>
  </si>
  <si>
    <t>S and SSL Tax Codes - PAYE Calculation</t>
  </si>
  <si>
    <t>$84,001 - $216,000</t>
  </si>
  <si>
    <t>$216,001 or more </t>
  </si>
  <si>
    <t>SSL Tax Codes - Student Loan Calculation</t>
  </si>
  <si>
    <t>Annual
 Salary / Wages</t>
  </si>
  <si>
    <t>Annual Employer Contributions</t>
  </si>
  <si>
    <t>Combined Total</t>
  </si>
  <si>
    <t>SH and SHSL Tax Codes - PAYE Calculation</t>
  </si>
  <si>
    <t>ESCT Rate</t>
  </si>
  <si>
    <t>ESCT</t>
  </si>
  <si>
    <t>SHSL Tax Codes - Student Loan Calculation</t>
  </si>
  <si>
    <t>ST Tax Codes - PAYE Calculation</t>
  </si>
  <si>
    <t>ST SL Tax Codes - Student Loan Calculation</t>
  </si>
  <si>
    <t>SA Tax Codes - PAYE Calculation</t>
  </si>
  <si>
    <t>SA SL Tax Codes - Student Loan Calculation</t>
  </si>
  <si>
    <t>SB and SB SL Tax Codes - PAYE Calculation</t>
  </si>
  <si>
    <t>SB SL Tax Codes - Student Loan Calculation</t>
  </si>
  <si>
    <t>EDW Tax Code - PAYE Calculation</t>
  </si>
  <si>
    <t>CAE Tax Code - PAYE Calculation</t>
  </si>
  <si>
    <t>ND (No-Declaration Rate) - PAYE Calculation</t>
  </si>
  <si>
    <t>ME and MESL Tax Codes - PAYE Calculation</t>
  </si>
  <si>
    <t>Annualised Amt</t>
  </si>
  <si>
    <t>IETC</t>
  </si>
  <si>
    <t>MESL Tax Code - Student Loan Calculation</t>
  </si>
  <si>
    <t xml:space="preserve"> NSW - PAYE Calculation</t>
  </si>
  <si>
    <t>CAE</t>
  </si>
  <si>
    <t>EDW</t>
  </si>
  <si>
    <t>ME</t>
  </si>
  <si>
    <t>MESL</t>
  </si>
  <si>
    <t>MSL</t>
  </si>
  <si>
    <t>ND</t>
  </si>
  <si>
    <t>NSW</t>
  </si>
  <si>
    <t>S</t>
  </si>
  <si>
    <t>SA</t>
  </si>
  <si>
    <t>SASL</t>
  </si>
  <si>
    <t>SB</t>
  </si>
  <si>
    <t>SBSL</t>
  </si>
  <si>
    <t>SH</t>
  </si>
  <si>
    <t>SHSL</t>
  </si>
  <si>
    <t>SSL</t>
  </si>
  <si>
    <t>ST</t>
  </si>
  <si>
    <t>STSL</t>
  </si>
  <si>
    <t>2022 Changes</t>
  </si>
  <si>
    <t>1. This calculator can be used to calculate a payslip for your employees who have worked normal and extra/overtime hours for the year ending 31 March 2023.</t>
  </si>
  <si>
    <t>To use this template, either download as an Excel document or copy this into a new google sheet to start editing your version.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</si>
</sst>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  <numFmt numFmtId="165" formatCode="_-&quot;$&quot;* #,##0.000_-;\-&quot;$&quot;* #,##0.000_-;_-&quot;$&quot;* &quot;-&quot;??_-;_-@_-"/>
    <numFmt numFmtId="166" formatCode="&quot;$&quot;#,##0.00000"/>
    <numFmt numFmtId="167" formatCode="&quot;$&quot;#,##0.0000"/>
    <numFmt numFmtId="168" formatCode="[$-1409]d\ mmmm\ yyyy;@"/>
    <numFmt numFmtId="169" formatCode="0.0%"/>
    <numFmt numFmtId="170" formatCode="&quot;$&quot;#,##0"/>
    <numFmt numFmtId="171" formatCode="0.0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1"/>
      <name val="Arial"/>
    </font>
    <font>
      <sz val="10"/>
      <name val="Arial"/>
    </font>
    <font>
      <sz val="10"/>
      <color rgb="FF121F3A"/>
      <name val="Arial"/>
    </font>
    <font>
      <strike/>
      <sz val="10"/>
      <color rgb="FF000000"/>
      <name val="Arial"/>
      <family val="2"/>
    </font>
    <font>
      <sz val="10"/>
      <color rgb="FFFF000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CC0000"/>
      </patternFill>
    </fill>
    <fill>
      <patternFill patternType="solid">
        <fgColor rgb="FF66BF6B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/>
  </cellStyleXfs>
  <cellXfs count="150">
    <xf numFmtId="0" fontId="0" fillId="0" borderId="0" xfId="0"/>
    <xf numFmtId="0" fontId="19" fillId="34" borderId="20" xfId="0" applyFont="1" applyFill="1" applyBorder="1" applyAlignment="1">
      <alignment horizontal="center"/>
    </xf>
    <xf numFmtId="0" fontId="19" fillId="35" borderId="21" xfId="0" applyFont="1" applyFill="1" applyBorder="1" applyAlignment="1">
      <alignment horizontal="center"/>
    </xf>
    <xf numFmtId="0" fontId="19" fillId="35" borderId="22" xfId="0" applyFont="1" applyFill="1" applyBorder="1" applyAlignment="1">
      <alignment horizontal="center"/>
    </xf>
    <xf numFmtId="164" fontId="20" fillId="34" borderId="20" xfId="0" applyNumberFormat="1" applyFont="1" applyFill="1" applyBorder="1" applyProtection="1">
      <protection locked="0"/>
    </xf>
    <xf numFmtId="0" fontId="20" fillId="34" borderId="20" xfId="0" applyFont="1" applyFill="1" applyBorder="1" applyAlignment="1" applyProtection="1">
      <alignment horizontal="center"/>
      <protection locked="0"/>
    </xf>
    <xf numFmtId="0" fontId="20" fillId="34" borderId="20" xfId="0" applyFont="1" applyFill="1" applyBorder="1" applyAlignment="1">
      <alignment horizontal="center"/>
    </xf>
    <xf numFmtId="164" fontId="19" fillId="35" borderId="23" xfId="0" applyNumberFormat="1" applyFont="1" applyFill="1" applyBorder="1" applyAlignment="1">
      <alignment horizontal="center"/>
    </xf>
    <xf numFmtId="0" fontId="0" fillId="36" borderId="24" xfId="0" applyFill="1" applyBorder="1"/>
    <xf numFmtId="0" fontId="0" fillId="36" borderId="0" xfId="0" applyFill="1"/>
    <xf numFmtId="164" fontId="0" fillId="36" borderId="0" xfId="0" applyNumberFormat="1" applyFill="1"/>
    <xf numFmtId="0" fontId="19" fillId="36" borderId="0" xfId="0" applyFont="1" applyFill="1" applyAlignment="1">
      <alignment horizontal="center" vertical="center"/>
    </xf>
    <xf numFmtId="0" fontId="0" fillId="36" borderId="25" xfId="0" applyFill="1" applyBorder="1"/>
    <xf numFmtId="164" fontId="19" fillId="36" borderId="0" xfId="0" applyNumberFormat="1" applyFont="1" applyFill="1" applyAlignment="1">
      <alignment horizontal="center" vertical="center"/>
    </xf>
    <xf numFmtId="0" fontId="21" fillId="34" borderId="24" xfId="0" applyFont="1" applyFill="1" applyBorder="1"/>
    <xf numFmtId="0" fontId="22" fillId="34" borderId="0" xfId="0" applyFont="1" applyFill="1"/>
    <xf numFmtId="0" fontId="19" fillId="37" borderId="24" xfId="0" applyFont="1" applyFill="1" applyBorder="1" applyAlignment="1">
      <alignment horizontal="center"/>
    </xf>
    <xf numFmtId="0" fontId="19" fillId="37" borderId="0" xfId="0" applyFont="1" applyFill="1" applyAlignment="1">
      <alignment horizontal="center"/>
    </xf>
    <xf numFmtId="0" fontId="19" fillId="35" borderId="0" xfId="0" applyFont="1" applyFill="1" applyAlignment="1">
      <alignment horizontal="center"/>
    </xf>
    <xf numFmtId="164" fontId="19" fillId="36" borderId="25" xfId="0" applyNumberFormat="1" applyFont="1" applyFill="1" applyBorder="1" applyAlignment="1">
      <alignment horizontal="center"/>
    </xf>
    <xf numFmtId="164" fontId="0" fillId="37" borderId="24" xfId="0" applyNumberFormat="1" applyFill="1" applyBorder="1"/>
    <xf numFmtId="164" fontId="0" fillId="37" borderId="0" xfId="0" applyNumberFormat="1" applyFill="1"/>
    <xf numFmtId="164" fontId="19" fillId="35" borderId="0" xfId="0" applyNumberFormat="1" applyFont="1" applyFill="1"/>
    <xf numFmtId="2" fontId="0" fillId="36" borderId="0" xfId="0" applyNumberFormat="1" applyFill="1"/>
    <xf numFmtId="164" fontId="19" fillId="36" borderId="0" xfId="0" applyNumberFormat="1" applyFont="1" applyFill="1"/>
    <xf numFmtId="0" fontId="0" fillId="34" borderId="0" xfId="0" applyFill="1"/>
    <xf numFmtId="0" fontId="19" fillId="36" borderId="0" xfId="0" applyFont="1" applyFill="1" applyAlignment="1">
      <alignment horizontal="center"/>
    </xf>
    <xf numFmtId="164" fontId="19" fillId="36" borderId="0" xfId="0" applyNumberFormat="1" applyFont="1" applyFill="1" applyAlignment="1">
      <alignment horizontal="center"/>
    </xf>
    <xf numFmtId="164" fontId="19" fillId="37" borderId="24" xfId="0" applyNumberFormat="1" applyFont="1" applyFill="1" applyBorder="1" applyAlignment="1">
      <alignment horizontal="center"/>
    </xf>
    <xf numFmtId="0" fontId="19" fillId="35" borderId="25" xfId="0" applyFont="1" applyFill="1" applyBorder="1" applyAlignment="1">
      <alignment horizontal="center"/>
    </xf>
    <xf numFmtId="164" fontId="19" fillId="35" borderId="25" xfId="0" applyNumberFormat="1" applyFont="1" applyFill="1" applyBorder="1"/>
    <xf numFmtId="164" fontId="0" fillId="37" borderId="26" xfId="0" applyNumberFormat="1" applyFill="1" applyBorder="1"/>
    <xf numFmtId="164" fontId="0" fillId="37" borderId="27" xfId="0" applyNumberFormat="1" applyFill="1" applyBorder="1"/>
    <xf numFmtId="164" fontId="19" fillId="35" borderId="27" xfId="0" applyNumberFormat="1" applyFont="1" applyFill="1" applyBorder="1"/>
    <xf numFmtId="0" fontId="0" fillId="36" borderId="27" xfId="0" applyFill="1" applyBorder="1"/>
    <xf numFmtId="164" fontId="0" fillId="36" borderId="27" xfId="0" applyNumberFormat="1" applyFill="1" applyBorder="1"/>
    <xf numFmtId="0" fontId="0" fillId="36" borderId="28" xfId="0" applyFill="1" applyBorder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9" fillId="0" borderId="0" xfId="0" applyFont="1" applyAlignment="1">
      <alignment horizontal="center"/>
    </xf>
    <xf numFmtId="164" fontId="0" fillId="0" borderId="0" xfId="0" applyNumberFormat="1"/>
    <xf numFmtId="44" fontId="0" fillId="0" borderId="0" xfId="0" applyNumberFormat="1"/>
    <xf numFmtId="164" fontId="19" fillId="0" borderId="0" xfId="0" applyNumberFormat="1" applyFont="1"/>
    <xf numFmtId="2" fontId="0" fillId="0" borderId="0" xfId="0" applyNumberFormat="1"/>
    <xf numFmtId="166" fontId="0" fillId="0" borderId="0" xfId="0" applyNumberFormat="1"/>
    <xf numFmtId="9" fontId="0" fillId="0" borderId="0" xfId="0" applyNumberFormat="1"/>
    <xf numFmtId="0" fontId="24" fillId="0" borderId="0" xfId="43"/>
    <xf numFmtId="0" fontId="19" fillId="0" borderId="0" xfId="43" applyFont="1"/>
    <xf numFmtId="0" fontId="23" fillId="0" borderId="0" xfId="43" applyFont="1"/>
    <xf numFmtId="0" fontId="27" fillId="0" borderId="0" xfId="43" applyFont="1"/>
    <xf numFmtId="0" fontId="28" fillId="0" borderId="0" xfId="43" applyFont="1"/>
    <xf numFmtId="0" fontId="23" fillId="0" borderId="0" xfId="43" applyFont="1" applyAlignment="1">
      <alignment horizontal="right"/>
    </xf>
    <xf numFmtId="164" fontId="23" fillId="0" borderId="0" xfId="43" applyNumberFormat="1" applyFont="1"/>
    <xf numFmtId="164" fontId="23" fillId="0" borderId="34" xfId="43" applyNumberFormat="1" applyFont="1" applyBorder="1"/>
    <xf numFmtId="164" fontId="28" fillId="0" borderId="14" xfId="43" applyNumberFormat="1" applyFont="1" applyBorder="1"/>
    <xf numFmtId="0" fontId="29" fillId="0" borderId="0" xfId="43" applyFont="1"/>
    <xf numFmtId="0" fontId="26" fillId="0" borderId="0" xfId="43" applyFont="1"/>
    <xf numFmtId="164" fontId="28" fillId="0" borderId="12" xfId="43" applyNumberFormat="1" applyFont="1" applyBorder="1"/>
    <xf numFmtId="164" fontId="28" fillId="0" borderId="16" xfId="43" applyNumberFormat="1" applyFont="1" applyBorder="1"/>
    <xf numFmtId="0" fontId="26" fillId="0" borderId="35" xfId="43" applyFont="1" applyBorder="1"/>
    <xf numFmtId="0" fontId="24" fillId="0" borderId="35" xfId="43" applyBorder="1"/>
    <xf numFmtId="164" fontId="24" fillId="0" borderId="34" xfId="43" applyNumberFormat="1" applyBorder="1"/>
    <xf numFmtId="0" fontId="24" fillId="0" borderId="11" xfId="43" applyBorder="1"/>
    <xf numFmtId="167" fontId="23" fillId="38" borderId="0" xfId="43" applyNumberFormat="1" applyFont="1" applyFill="1" applyAlignment="1">
      <alignment horizontal="right"/>
    </xf>
    <xf numFmtId="0" fontId="23" fillId="38" borderId="0" xfId="43" applyFont="1" applyFill="1" applyAlignment="1">
      <alignment horizontal="right"/>
    </xf>
    <xf numFmtId="0" fontId="23" fillId="38" borderId="0" xfId="43" applyFont="1" applyFill="1"/>
    <xf numFmtId="164" fontId="23" fillId="38" borderId="0" xfId="43" applyNumberFormat="1" applyFont="1" applyFill="1"/>
    <xf numFmtId="164" fontId="23" fillId="0" borderId="0" xfId="43" applyNumberFormat="1" applyFont="1" applyAlignment="1">
      <alignment horizontal="right"/>
    </xf>
    <xf numFmtId="0" fontId="28" fillId="38" borderId="14" xfId="43" applyFont="1" applyFill="1" applyBorder="1"/>
    <xf numFmtId="164" fontId="28" fillId="0" borderId="10" xfId="43" applyNumberFormat="1" applyFont="1" applyBorder="1"/>
    <xf numFmtId="9" fontId="23" fillId="38" borderId="0" xfId="43" applyNumberFormat="1" applyFont="1" applyFill="1"/>
    <xf numFmtId="0" fontId="23" fillId="40" borderId="0" xfId="43" applyFont="1" applyFill="1"/>
    <xf numFmtId="0" fontId="27" fillId="40" borderId="0" xfId="43" applyFont="1" applyFill="1"/>
    <xf numFmtId="0" fontId="28" fillId="40" borderId="0" xfId="43" applyFont="1" applyFill="1"/>
    <xf numFmtId="0" fontId="27" fillId="40" borderId="0" xfId="43" applyFont="1" applyFill="1" applyAlignment="1">
      <alignment horizontal="right"/>
    </xf>
    <xf numFmtId="0" fontId="24" fillId="40" borderId="0" xfId="43" applyFill="1"/>
    <xf numFmtId="0" fontId="19" fillId="40" borderId="0" xfId="43" applyFont="1" applyFill="1" applyAlignment="1">
      <alignment horizontal="right"/>
    </xf>
    <xf numFmtId="0" fontId="19" fillId="0" borderId="0" xfId="43" applyFont="1" applyAlignment="1">
      <alignment horizontal="center" vertical="center"/>
    </xf>
    <xf numFmtId="0" fontId="26" fillId="0" borderId="0" xfId="43" applyFont="1" applyAlignment="1">
      <alignment horizontal="center" vertical="center"/>
    </xf>
    <xf numFmtId="0" fontId="19" fillId="40" borderId="0" xfId="43" applyFont="1" applyFill="1" applyAlignment="1">
      <alignment horizontal="left" vertical="center"/>
    </xf>
    <xf numFmtId="0" fontId="26" fillId="40" borderId="0" xfId="43" applyFont="1" applyFill="1" applyAlignment="1">
      <alignment horizontal="left" vertical="center"/>
    </xf>
    <xf numFmtId="0" fontId="23" fillId="40" borderId="0" xfId="43" applyFont="1" applyFill="1" applyAlignment="1">
      <alignment horizontal="left"/>
    </xf>
    <xf numFmtId="0" fontId="23" fillId="0" borderId="0" xfId="0" applyFont="1"/>
    <xf numFmtId="2" fontId="23" fillId="0" borderId="0" xfId="0" applyNumberFormat="1" applyFont="1"/>
    <xf numFmtId="164" fontId="23" fillId="0" borderId="0" xfId="0" applyNumberFormat="1" applyFont="1"/>
    <xf numFmtId="9" fontId="23" fillId="0" borderId="0" xfId="43" applyNumberFormat="1" applyFont="1"/>
    <xf numFmtId="44" fontId="0" fillId="0" borderId="0" xfId="44" applyFont="1"/>
    <xf numFmtId="0" fontId="16" fillId="0" borderId="0" xfId="0" applyFont="1"/>
    <xf numFmtId="0" fontId="16" fillId="0" borderId="37" xfId="0" applyFont="1" applyBorder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16" fillId="0" borderId="39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170" fontId="0" fillId="0" borderId="0" xfId="0" applyNumberFormat="1" applyAlignment="1">
      <alignment horizontal="center"/>
    </xf>
    <xf numFmtId="169" fontId="0" fillId="0" borderId="25" xfId="45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170" fontId="0" fillId="0" borderId="27" xfId="0" applyNumberFormat="1" applyBorder="1" applyAlignment="1">
      <alignment horizontal="center"/>
    </xf>
    <xf numFmtId="169" fontId="0" fillId="0" borderId="28" xfId="45" applyNumberFormat="1" applyFont="1" applyBorder="1" applyAlignment="1">
      <alignment horizontal="center"/>
    </xf>
    <xf numFmtId="170" fontId="0" fillId="0" borderId="0" xfId="0" applyNumberFormat="1"/>
    <xf numFmtId="0" fontId="16" fillId="0" borderId="0" xfId="0" applyFont="1" applyAlignment="1">
      <alignment wrapText="1"/>
    </xf>
    <xf numFmtId="9" fontId="0" fillId="0" borderId="0" xfId="45" applyFont="1" applyAlignment="1">
      <alignment horizontal="center"/>
    </xf>
    <xf numFmtId="170" fontId="0" fillId="0" borderId="34" xfId="0" applyNumberFormat="1" applyBorder="1"/>
    <xf numFmtId="169" fontId="0" fillId="41" borderId="20" xfId="0" applyNumberFormat="1" applyFill="1" applyBorder="1"/>
    <xf numFmtId="164" fontId="24" fillId="0" borderId="0" xfId="43" applyNumberFormat="1"/>
    <xf numFmtId="164" fontId="24" fillId="0" borderId="12" xfId="43" applyNumberFormat="1" applyBorder="1"/>
    <xf numFmtId="0" fontId="35" fillId="0" borderId="0" xfId="0" applyFont="1"/>
    <xf numFmtId="0" fontId="36" fillId="0" borderId="0" xfId="43" applyFont="1"/>
    <xf numFmtId="0" fontId="37" fillId="0" borderId="0" xfId="43" applyFont="1"/>
    <xf numFmtId="164" fontId="23" fillId="41" borderId="0" xfId="43" applyNumberFormat="1" applyFont="1" applyFill="1"/>
    <xf numFmtId="171" fontId="24" fillId="0" borderId="0" xfId="43" applyNumberFormat="1"/>
    <xf numFmtId="0" fontId="34" fillId="0" borderId="0" xfId="46"/>
    <xf numFmtId="0" fontId="34" fillId="0" borderId="0" xfId="46" applyAlignment="1">
      <alignment horizontal="center" vertical="center"/>
    </xf>
    <xf numFmtId="0" fontId="34" fillId="0" borderId="0" xfId="46"/>
    <xf numFmtId="0" fontId="34" fillId="0" borderId="0" xfId="46" applyAlignment="1">
      <alignment horizontal="center" vertical="center"/>
    </xf>
    <xf numFmtId="0" fontId="24" fillId="0" borderId="0" xfId="43" applyAlignment="1">
      <alignment horizontal="left" wrapText="1"/>
    </xf>
    <xf numFmtId="0" fontId="28" fillId="0" borderId="0" xfId="43" applyFont="1" applyAlignment="1"/>
    <xf numFmtId="0" fontId="24" fillId="0" borderId="0" xfId="43" applyAlignment="1"/>
    <xf numFmtId="0" fontId="24" fillId="38" borderId="35" xfId="43" applyFill="1" applyBorder="1" applyAlignment="1">
      <alignment horizontal="center"/>
    </xf>
    <xf numFmtId="0" fontId="27" fillId="0" borderId="32" xfId="43" applyFont="1" applyBorder="1" applyAlignment="1"/>
    <xf numFmtId="0" fontId="27" fillId="0" borderId="36" xfId="43" applyFont="1" applyBorder="1" applyAlignment="1"/>
    <xf numFmtId="0" fontId="26" fillId="38" borderId="15" xfId="43" applyFont="1" applyFill="1" applyBorder="1" applyAlignment="1">
      <alignment horizontal="center"/>
    </xf>
    <xf numFmtId="0" fontId="16" fillId="38" borderId="13" xfId="0" applyFont="1" applyFill="1" applyBorder="1" applyAlignment="1">
      <alignment horizontal="center"/>
    </xf>
    <xf numFmtId="0" fontId="23" fillId="0" borderId="0" xfId="43" applyFont="1" applyAlignment="1"/>
    <xf numFmtId="0" fontId="27" fillId="0" borderId="0" xfId="43" applyFont="1" applyAlignment="1"/>
    <xf numFmtId="0" fontId="23" fillId="0" borderId="33" xfId="43" applyFont="1" applyBorder="1" applyAlignment="1"/>
    <xf numFmtId="168" fontId="28" fillId="38" borderId="32" xfId="43" applyNumberFormat="1" applyFont="1" applyFill="1" applyBorder="1" applyAlignment="1">
      <alignment horizontal="center"/>
    </xf>
    <xf numFmtId="168" fontId="23" fillId="38" borderId="33" xfId="43" applyNumberFormat="1" applyFont="1" applyFill="1" applyBorder="1" applyAlignment="1">
      <alignment horizontal="center"/>
    </xf>
    <xf numFmtId="0" fontId="27" fillId="38" borderId="30" xfId="43" applyFont="1" applyFill="1" applyBorder="1" applyAlignment="1">
      <alignment horizontal="center"/>
    </xf>
    <xf numFmtId="0" fontId="19" fillId="38" borderId="31" xfId="43" applyFont="1" applyFill="1" applyBorder="1" applyAlignment="1">
      <alignment horizontal="center"/>
    </xf>
    <xf numFmtId="0" fontId="33" fillId="0" borderId="0" xfId="43" applyFont="1" applyAlignment="1"/>
    <xf numFmtId="0" fontId="34" fillId="0" borderId="0" xfId="43" applyFont="1" applyAlignment="1"/>
    <xf numFmtId="0" fontId="28" fillId="38" borderId="32" xfId="43" applyFont="1" applyFill="1" applyBorder="1" applyAlignment="1">
      <alignment horizontal="center"/>
    </xf>
    <xf numFmtId="0" fontId="19" fillId="38" borderId="33" xfId="43" applyFont="1" applyFill="1" applyBorder="1" applyAlignment="1">
      <alignment horizontal="center"/>
    </xf>
    <xf numFmtId="0" fontId="32" fillId="0" borderId="0" xfId="43" applyFont="1" applyAlignment="1">
      <alignment horizontal="center" vertical="center" wrapText="1"/>
    </xf>
    <xf numFmtId="0" fontId="30" fillId="0" borderId="0" xfId="43" applyFont="1" applyAlignment="1">
      <alignment horizontal="center" vertical="center" wrapText="1"/>
    </xf>
    <xf numFmtId="0" fontId="25" fillId="0" borderId="29" xfId="43" applyFont="1" applyBorder="1" applyAlignment="1">
      <alignment horizontal="center" vertical="center"/>
    </xf>
    <xf numFmtId="0" fontId="23" fillId="0" borderId="29" xfId="43" applyFont="1" applyBorder="1" applyAlignment="1"/>
    <xf numFmtId="0" fontId="32" fillId="0" borderId="0" xfId="43" applyFont="1" applyAlignment="1">
      <alignment horizontal="center" vertical="center"/>
    </xf>
    <xf numFmtId="0" fontId="30" fillId="0" borderId="0" xfId="43" applyFont="1" applyAlignment="1">
      <alignment horizontal="center" vertical="center"/>
    </xf>
    <xf numFmtId="0" fontId="19" fillId="39" borderId="0" xfId="43" applyFont="1" applyFill="1" applyAlignment="1">
      <alignment horizontal="left" vertical="center" wrapText="1"/>
    </xf>
    <xf numFmtId="0" fontId="31" fillId="38" borderId="0" xfId="43" applyFont="1" applyFill="1" applyAlignment="1">
      <alignment horizontal="left" wrapText="1"/>
    </xf>
    <xf numFmtId="0" fontId="19" fillId="0" borderId="0" xfId="43" applyFont="1" applyAlignment="1">
      <alignment horizontal="left"/>
    </xf>
    <xf numFmtId="0" fontId="19" fillId="40" borderId="0" xfId="43" applyFont="1" applyFill="1" applyAlignment="1">
      <alignment horizontal="left"/>
    </xf>
    <xf numFmtId="0" fontId="18" fillId="33" borderId="17" xfId="0" applyFont="1" applyFill="1" applyBorder="1" applyAlignment="1">
      <alignment horizontal="left"/>
    </xf>
    <xf numFmtId="0" fontId="18" fillId="33" borderId="18" xfId="0" applyFont="1" applyFill="1" applyBorder="1" applyAlignment="1">
      <alignment horizontal="left"/>
    </xf>
    <xf numFmtId="0" fontId="18" fillId="33" borderId="19" xfId="0" applyFont="1" applyFill="1" applyBorder="1" applyAlignment="1">
      <alignment horizontal="left"/>
    </xf>
    <xf numFmtId="0" fontId="27" fillId="0" borderId="0" xfId="0" applyFont="1" applyAlignment="1">
      <alignment vertical="top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4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78121D8C-1290-44EF-9963-D07D57E00075}"/>
    <cellStyle name="Normal 3" xfId="43" xr:uid="{A94A0603-06C5-4C63-A74F-0561920ED29D}"/>
    <cellStyle name="Normal 4" xfId="46" xr:uid="{04A0E757-A8A9-427B-88C1-FCDEDD54417E}"/>
    <cellStyle name="Note" xfId="15" builtinId="10" customBuiltin="1"/>
    <cellStyle name="Output" xfId="10" builtinId="21" customBuiltin="1"/>
    <cellStyle name="Percent" xfId="45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66BF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76200</xdr:rowOff>
    </xdr:from>
    <xdr:to>
      <xdr:col>2</xdr:col>
      <xdr:colOff>1003995</xdr:colOff>
      <xdr:row>4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261C2D5-9067-4C6D-A549-5502A149DE62}"/>
            </a:ext>
          </a:extLst>
        </xdr:cNvPr>
        <xdr:cNvSpPr txBox="1">
          <a:spLocks noChangeArrowheads="1"/>
        </xdr:cNvSpPr>
      </xdr:nvSpPr>
      <xdr:spPr bwMode="auto">
        <a:xfrm>
          <a:off x="133350" y="742950"/>
          <a:ext cx="27089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Enter a gross value in </a:t>
          </a:r>
          <a:r>
            <a:rPr lang="en-NZ" sz="1000" b="1" i="1" u="sng" strike="noStrike" baseline="0">
              <a:solidFill>
                <a:srgbClr val="0000FF"/>
              </a:solidFill>
              <a:latin typeface="Arial"/>
              <a:cs typeface="Arial"/>
            </a:rPr>
            <a:t>one</a:t>
          </a:r>
          <a:r>
            <a:rPr lang="en-NZ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 of the four pay frequency boxes above and enter a tax code also.</a:t>
          </a:r>
        </a:p>
      </xdr:txBody>
    </xdr:sp>
    <xdr:clientData/>
  </xdr:twoCellAnchor>
  <xdr:twoCellAnchor>
    <xdr:from>
      <xdr:col>0</xdr:col>
      <xdr:colOff>133350</xdr:colOff>
      <xdr:row>3</xdr:row>
      <xdr:rowOff>76200</xdr:rowOff>
    </xdr:from>
    <xdr:to>
      <xdr:col>2</xdr:col>
      <xdr:colOff>1003995</xdr:colOff>
      <xdr:row>4</xdr:row>
      <xdr:rowOff>180975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7CCF532-1FE3-4F46-8048-DA63755EA465}"/>
            </a:ext>
          </a:extLst>
        </xdr:cNvPr>
        <xdr:cNvSpPr txBox="1">
          <a:spLocks noChangeArrowheads="1"/>
        </xdr:cNvSpPr>
      </xdr:nvSpPr>
      <xdr:spPr bwMode="auto">
        <a:xfrm>
          <a:off x="133350" y="742950"/>
          <a:ext cx="27089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Enter a gross value in </a:t>
          </a:r>
          <a:r>
            <a:rPr lang="en-NZ" sz="1000" b="1" i="1" u="sng" strike="noStrike" baseline="0">
              <a:solidFill>
                <a:srgbClr val="0000FF"/>
              </a:solidFill>
              <a:latin typeface="Arial"/>
              <a:cs typeface="Arial"/>
            </a:rPr>
            <a:t>one</a:t>
          </a:r>
          <a:r>
            <a:rPr lang="en-NZ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 of the four pay frequency boxes above and enter a tax code also.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76200</xdr:rowOff>
    </xdr:from>
    <xdr:to>
      <xdr:col>2</xdr:col>
      <xdr:colOff>1003995</xdr:colOff>
      <xdr:row>4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68602EF-1E37-44B5-948D-081935C7EEE6}"/>
            </a:ext>
          </a:extLst>
        </xdr:cNvPr>
        <xdr:cNvSpPr txBox="1">
          <a:spLocks noChangeArrowheads="1"/>
        </xdr:cNvSpPr>
      </xdr:nvSpPr>
      <xdr:spPr bwMode="auto">
        <a:xfrm>
          <a:off x="133350" y="742950"/>
          <a:ext cx="270897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Enter a gross value in </a:t>
          </a:r>
          <a:r>
            <a:rPr lang="en-NZ" sz="1000" b="1" i="1" u="sng" strike="noStrike" baseline="0">
              <a:solidFill>
                <a:srgbClr val="0000FF"/>
              </a:solidFill>
              <a:latin typeface="Arial"/>
              <a:cs typeface="Arial"/>
            </a:rPr>
            <a:t>one</a:t>
          </a:r>
          <a:r>
            <a:rPr lang="en-NZ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 of the four pay frequency boxes above and enter a tax code also.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76200</xdr:rowOff>
    </xdr:from>
    <xdr:to>
      <xdr:col>2</xdr:col>
      <xdr:colOff>1003995</xdr:colOff>
      <xdr:row>4</xdr:row>
      <xdr:rowOff>180975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13965ED-344D-4DC6-B86E-989A409534E2}"/>
            </a:ext>
          </a:extLst>
        </xdr:cNvPr>
        <xdr:cNvSpPr txBox="1">
          <a:spLocks noChangeArrowheads="1"/>
        </xdr:cNvSpPr>
      </xdr:nvSpPr>
      <xdr:spPr bwMode="auto">
        <a:xfrm>
          <a:off x="133350" y="685800"/>
          <a:ext cx="270897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Enter a gross value in </a:t>
          </a:r>
          <a:r>
            <a:rPr lang="en-NZ" sz="1000" b="1" i="1" u="sng" strike="noStrike" baseline="0">
              <a:solidFill>
                <a:srgbClr val="0000FF"/>
              </a:solidFill>
              <a:latin typeface="Arial"/>
              <a:cs typeface="Arial"/>
            </a:rPr>
            <a:t>one</a:t>
          </a:r>
          <a:r>
            <a:rPr lang="en-NZ" sz="1000" b="1" i="1" u="none" strike="noStrike" baseline="0">
              <a:solidFill>
                <a:srgbClr val="0000FF"/>
              </a:solidFill>
              <a:latin typeface="Arial"/>
              <a:cs typeface="Arial"/>
            </a:rPr>
            <a:t> of the four pay frequency boxes above and enter a tax code also.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21D9-A7DC-42DB-A0AC-16C4F4AF526C}">
  <sheetPr codeName="Sheet1">
    <outlinePr summaryBelow="0" summaryRight="0"/>
  </sheetPr>
  <dimension ref="A1:R42"/>
  <sheetViews>
    <sheetView tabSelected="1" workbookViewId="0">
      <selection activeCell="I6" sqref="I6"/>
    </sheetView>
  </sheetViews>
  <sheetFormatPr defaultColWidth="14.453125" defaultRowHeight="15.75" customHeight="1" x14ac:dyDescent="0.25"/>
  <cols>
    <col min="1" max="1" width="11" style="50" customWidth="1"/>
    <col min="2" max="2" width="12" style="50" customWidth="1"/>
    <col min="3" max="8" width="10.7265625" style="50" customWidth="1"/>
    <col min="9" max="16384" width="14.453125" style="50"/>
  </cols>
  <sheetData>
    <row r="1" spans="1:18" ht="12.5" x14ac:dyDescent="0.25">
      <c r="A1" s="136" t="s">
        <v>0</v>
      </c>
      <c r="B1" s="137"/>
      <c r="C1" s="138"/>
      <c r="D1" s="139"/>
      <c r="E1" s="139"/>
      <c r="F1" s="140" t="s">
        <v>1</v>
      </c>
      <c r="G1" s="141"/>
      <c r="H1" s="141"/>
    </row>
    <row r="2" spans="1:18" ht="12.5" x14ac:dyDescent="0.25">
      <c r="A2" s="137"/>
      <c r="B2" s="137"/>
      <c r="C2" s="125"/>
      <c r="D2" s="125"/>
      <c r="E2" s="125"/>
      <c r="F2" s="141"/>
      <c r="G2" s="141"/>
      <c r="H2" s="141"/>
    </row>
    <row r="3" spans="1:18" ht="12.5" x14ac:dyDescent="0.25">
      <c r="A3" s="137"/>
      <c r="B3" s="137"/>
      <c r="C3" s="125"/>
      <c r="D3" s="125"/>
      <c r="E3" s="125"/>
      <c r="F3" s="141"/>
      <c r="G3" s="141"/>
      <c r="H3" s="141"/>
    </row>
    <row r="4" spans="1:18" ht="26.25" customHeight="1" x14ac:dyDescent="0.3">
      <c r="A4" s="145" t="s">
        <v>2</v>
      </c>
      <c r="B4" s="145"/>
      <c r="C4" s="83"/>
      <c r="D4" s="84"/>
      <c r="E4" s="84"/>
      <c r="F4" s="85"/>
      <c r="G4" s="85"/>
      <c r="H4" s="85"/>
      <c r="J4" s="149" t="s">
        <v>137</v>
      </c>
    </row>
    <row r="5" spans="1:18" ht="15.75" customHeight="1" x14ac:dyDescent="0.3">
      <c r="A5" s="144" t="s">
        <v>3</v>
      </c>
      <c r="B5" s="144"/>
      <c r="C5" s="81"/>
      <c r="D5" s="82"/>
      <c r="E5" s="82"/>
      <c r="F5" s="52"/>
      <c r="G5" s="52"/>
      <c r="H5" s="52"/>
      <c r="J5" s="117" t="s">
        <v>4</v>
      </c>
      <c r="K5" s="117"/>
      <c r="L5" s="117"/>
      <c r="M5" s="117"/>
      <c r="N5" s="117"/>
      <c r="O5" s="117"/>
      <c r="P5" s="117"/>
      <c r="Q5" s="117"/>
      <c r="R5" s="117"/>
    </row>
    <row r="6" spans="1:18" ht="15.75" customHeight="1" x14ac:dyDescent="0.3">
      <c r="A6" s="144" t="s">
        <v>5</v>
      </c>
      <c r="B6" s="144"/>
      <c r="C6" s="81"/>
      <c r="D6" s="82"/>
      <c r="E6" s="82"/>
      <c r="F6" s="52"/>
      <c r="G6" s="52"/>
      <c r="H6" s="52"/>
      <c r="J6" s="117"/>
      <c r="K6" s="117"/>
      <c r="L6" s="117"/>
      <c r="M6" s="117"/>
      <c r="N6" s="117"/>
      <c r="O6" s="117"/>
      <c r="P6" s="117"/>
      <c r="Q6" s="117"/>
      <c r="R6" s="117"/>
    </row>
    <row r="7" spans="1:18" ht="15.75" customHeight="1" x14ac:dyDescent="0.3">
      <c r="A7" s="51"/>
      <c r="B7" s="51"/>
      <c r="C7" s="81"/>
      <c r="D7" s="82"/>
      <c r="E7" s="82"/>
      <c r="F7" s="52"/>
      <c r="G7" s="52"/>
      <c r="H7" s="52"/>
    </row>
    <row r="8" spans="1:18" ht="12.5" x14ac:dyDescent="0.25">
      <c r="A8" s="142" t="s">
        <v>6</v>
      </c>
      <c r="B8" s="143"/>
    </row>
    <row r="9" spans="1:18" ht="15.75" customHeight="1" x14ac:dyDescent="0.3">
      <c r="A9" s="143"/>
      <c r="B9" s="143"/>
      <c r="J9" s="60" t="s">
        <v>7</v>
      </c>
    </row>
    <row r="10" spans="1:18" ht="15.75" customHeight="1" x14ac:dyDescent="0.35">
      <c r="E10" s="121" t="s">
        <v>8</v>
      </c>
      <c r="F10" s="122"/>
      <c r="G10" s="123" t="s">
        <v>9</v>
      </c>
      <c r="H10" s="124"/>
      <c r="J10" s="50" t="s">
        <v>136</v>
      </c>
    </row>
    <row r="11" spans="1:18" ht="15.75" customHeight="1" x14ac:dyDescent="0.3">
      <c r="A11" s="121" t="s">
        <v>10</v>
      </c>
      <c r="B11" s="127"/>
      <c r="C11" s="128" t="s">
        <v>11</v>
      </c>
      <c r="D11" s="129"/>
      <c r="E11" s="121" t="s">
        <v>12</v>
      </c>
      <c r="F11" s="127"/>
      <c r="G11" s="130" t="s">
        <v>13</v>
      </c>
      <c r="H11" s="131"/>
      <c r="J11" s="50" t="s">
        <v>14</v>
      </c>
    </row>
    <row r="12" spans="1:18" ht="15.75" customHeight="1" x14ac:dyDescent="0.3">
      <c r="A12" s="121" t="s">
        <v>15</v>
      </c>
      <c r="B12" s="127"/>
      <c r="C12" s="128" t="s">
        <v>11</v>
      </c>
      <c r="D12" s="129"/>
      <c r="E12" s="121" t="s">
        <v>16</v>
      </c>
      <c r="F12" s="127"/>
      <c r="G12" s="134" t="s">
        <v>17</v>
      </c>
      <c r="H12" s="135"/>
      <c r="J12" s="50" t="s">
        <v>18</v>
      </c>
    </row>
    <row r="13" spans="1:18" ht="15.75" customHeight="1" x14ac:dyDescent="0.3">
      <c r="A13" s="53"/>
      <c r="B13" s="52"/>
      <c r="C13" s="54"/>
      <c r="D13" s="52"/>
      <c r="E13" s="53"/>
      <c r="F13" s="52"/>
      <c r="G13" s="54"/>
      <c r="H13" s="52"/>
      <c r="J13" s="50" t="s">
        <v>19</v>
      </c>
    </row>
    <row r="14" spans="1:18" ht="15.75" customHeight="1" x14ac:dyDescent="0.3">
      <c r="A14" s="76" t="s">
        <v>20</v>
      </c>
      <c r="B14" s="75"/>
      <c r="C14" s="77"/>
      <c r="D14" s="78" t="s">
        <v>21</v>
      </c>
      <c r="E14" s="79"/>
      <c r="F14" s="80" t="s">
        <v>22</v>
      </c>
      <c r="G14" s="78"/>
      <c r="H14" s="80" t="s">
        <v>23</v>
      </c>
    </row>
    <row r="15" spans="1:18" ht="15.75" customHeight="1" x14ac:dyDescent="0.3">
      <c r="A15" s="53" t="s">
        <v>24</v>
      </c>
      <c r="B15" s="52" t="s">
        <v>25</v>
      </c>
      <c r="C15" s="54"/>
      <c r="D15" s="67">
        <v>23.423400000000001</v>
      </c>
      <c r="E15" s="53"/>
      <c r="F15" s="68">
        <v>37.5</v>
      </c>
      <c r="G15" s="54"/>
      <c r="H15" s="56">
        <f t="shared" ref="H15:H16" si="0">D15*F15</f>
        <v>878.37750000000005</v>
      </c>
      <c r="J15" s="60" t="s">
        <v>26</v>
      </c>
      <c r="K15" s="109"/>
      <c r="L15" s="109"/>
      <c r="M15" s="109"/>
      <c r="N15" s="109"/>
    </row>
    <row r="16" spans="1:18" ht="15.75" customHeight="1" x14ac:dyDescent="0.3">
      <c r="A16" s="53" t="s">
        <v>24</v>
      </c>
      <c r="B16" s="52" t="s">
        <v>27</v>
      </c>
      <c r="C16" s="54"/>
      <c r="D16" s="67"/>
      <c r="E16" s="53"/>
      <c r="F16" s="68"/>
      <c r="G16" s="54"/>
      <c r="H16" s="56">
        <f t="shared" si="0"/>
        <v>0</v>
      </c>
      <c r="J16" s="108" t="s">
        <v>28</v>
      </c>
      <c r="K16" s="109"/>
      <c r="L16" s="109"/>
      <c r="M16" s="109"/>
      <c r="N16" s="109"/>
    </row>
    <row r="17" spans="1:14" ht="15.75" customHeight="1" x14ac:dyDescent="0.3">
      <c r="A17" s="53"/>
      <c r="B17" s="52"/>
      <c r="C17" s="54"/>
      <c r="D17" s="55"/>
      <c r="E17" s="53"/>
      <c r="F17" s="55"/>
      <c r="G17" s="54"/>
      <c r="H17" s="57">
        <f>SUM(H15:H16)</f>
        <v>878.37750000000005</v>
      </c>
      <c r="J17" s="108" t="s">
        <v>29</v>
      </c>
      <c r="K17" s="109"/>
      <c r="L17" s="109"/>
      <c r="M17" s="109"/>
      <c r="N17" s="109"/>
    </row>
    <row r="18" spans="1:14" ht="15.75" customHeight="1" x14ac:dyDescent="0.3">
      <c r="A18" s="76" t="s">
        <v>30</v>
      </c>
      <c r="B18" s="75"/>
      <c r="C18" s="77"/>
      <c r="D18" s="78" t="s">
        <v>21</v>
      </c>
      <c r="E18" s="79"/>
      <c r="F18" s="80" t="s">
        <v>22</v>
      </c>
      <c r="G18" s="78"/>
      <c r="H18" s="80" t="s">
        <v>23</v>
      </c>
      <c r="J18" s="108" t="s">
        <v>31</v>
      </c>
    </row>
    <row r="19" spans="1:14" ht="15.75" customHeight="1" x14ac:dyDescent="0.3">
      <c r="A19" s="53" t="s">
        <v>32</v>
      </c>
      <c r="B19" s="52"/>
      <c r="C19" s="54"/>
      <c r="D19" s="67"/>
      <c r="E19" s="53"/>
      <c r="F19" s="68">
        <v>0</v>
      </c>
      <c r="G19" s="54"/>
      <c r="H19" s="56">
        <f>TRUNC(D19*F19,2)</f>
        <v>0</v>
      </c>
      <c r="J19" s="108" t="s">
        <v>33</v>
      </c>
    </row>
    <row r="20" spans="1:14" ht="15.75" customHeight="1" x14ac:dyDescent="0.3">
      <c r="A20" s="53" t="s">
        <v>34</v>
      </c>
      <c r="B20" s="52"/>
      <c r="C20" s="54"/>
      <c r="D20" s="67"/>
      <c r="E20" s="53"/>
      <c r="F20" s="68"/>
      <c r="G20" s="54"/>
      <c r="H20" s="56">
        <f t="shared" ref="H20:H23" si="1">TRUNC(D20*F20,2)</f>
        <v>0</v>
      </c>
      <c r="J20" s="108" t="s">
        <v>35</v>
      </c>
    </row>
    <row r="21" spans="1:14" ht="15.75" customHeight="1" x14ac:dyDescent="0.3">
      <c r="A21" s="53" t="s">
        <v>36</v>
      </c>
      <c r="B21" s="52"/>
      <c r="C21" s="54"/>
      <c r="D21" s="67"/>
      <c r="E21" s="53"/>
      <c r="F21" s="68"/>
      <c r="G21" s="54"/>
      <c r="H21" s="56">
        <f t="shared" si="1"/>
        <v>0</v>
      </c>
      <c r="J21" s="108" t="s">
        <v>37</v>
      </c>
    </row>
    <row r="22" spans="1:14" ht="15.75" customHeight="1" x14ac:dyDescent="0.3">
      <c r="A22" s="53" t="s">
        <v>38</v>
      </c>
      <c r="B22" s="52"/>
      <c r="C22" s="54"/>
      <c r="D22" s="71">
        <v>0</v>
      </c>
      <c r="E22" s="53"/>
      <c r="F22" s="68"/>
      <c r="G22" s="54"/>
      <c r="H22" s="56">
        <f t="shared" si="1"/>
        <v>0</v>
      </c>
      <c r="J22" s="108" t="s">
        <v>39</v>
      </c>
    </row>
    <row r="23" spans="1:14" ht="15.75" customHeight="1" x14ac:dyDescent="0.3">
      <c r="A23" s="53" t="s">
        <v>40</v>
      </c>
      <c r="B23" s="52"/>
      <c r="C23" s="54"/>
      <c r="D23" s="68"/>
      <c r="E23" s="53"/>
      <c r="F23" s="68"/>
      <c r="G23" s="54"/>
      <c r="H23" s="56">
        <f t="shared" si="1"/>
        <v>0</v>
      </c>
      <c r="J23" s="108" t="s">
        <v>41</v>
      </c>
    </row>
    <row r="24" spans="1:14" ht="15.75" customHeight="1" x14ac:dyDescent="0.3">
      <c r="A24" s="53"/>
      <c r="B24" s="52"/>
      <c r="C24" s="54"/>
      <c r="D24" s="55"/>
      <c r="E24" s="53"/>
      <c r="F24" s="55"/>
      <c r="G24" s="54"/>
      <c r="H24" s="57">
        <f>SUM(H19:H23)</f>
        <v>0</v>
      </c>
    </row>
    <row r="25" spans="1:14" ht="15.75" customHeight="1" x14ac:dyDescent="0.3">
      <c r="A25" s="76" t="s">
        <v>42</v>
      </c>
      <c r="B25" s="75"/>
      <c r="C25" s="77"/>
      <c r="D25" s="78" t="s">
        <v>21</v>
      </c>
      <c r="E25" s="79"/>
      <c r="F25" s="80" t="s">
        <v>43</v>
      </c>
      <c r="G25" s="78"/>
      <c r="H25" s="80" t="s">
        <v>23</v>
      </c>
    </row>
    <row r="26" spans="1:14" ht="15.75" customHeight="1" x14ac:dyDescent="0.3">
      <c r="A26" s="53" t="s">
        <v>44</v>
      </c>
      <c r="B26" s="52"/>
      <c r="C26" s="54"/>
      <c r="D26" s="74">
        <v>0.03</v>
      </c>
      <c r="E26" s="53"/>
      <c r="F26" s="70">
        <f>D37</f>
        <v>878.37750000000005</v>
      </c>
      <c r="G26" s="54"/>
      <c r="H26" s="56">
        <f>TRUNC(D26*F26,2)</f>
        <v>26.35</v>
      </c>
    </row>
    <row r="27" spans="1:14" ht="15.75" customHeight="1" x14ac:dyDescent="0.3">
      <c r="A27" s="53" t="s">
        <v>40</v>
      </c>
      <c r="B27" s="52"/>
      <c r="C27" s="54"/>
      <c r="D27" s="70"/>
      <c r="E27" s="53"/>
      <c r="F27" s="69">
        <v>0</v>
      </c>
      <c r="G27" s="54"/>
      <c r="H27" s="56">
        <f t="shared" ref="H27:H28" si="2">TRUNC(D27*F27,2)</f>
        <v>0</v>
      </c>
    </row>
    <row r="28" spans="1:14" ht="15.75" customHeight="1" x14ac:dyDescent="0.3">
      <c r="A28" s="53" t="s">
        <v>40</v>
      </c>
      <c r="B28" s="52"/>
      <c r="C28" s="54"/>
      <c r="D28" s="69"/>
      <c r="E28" s="53"/>
      <c r="F28" s="69"/>
      <c r="G28" s="54"/>
      <c r="H28" s="56">
        <f t="shared" si="2"/>
        <v>0</v>
      </c>
    </row>
    <row r="29" spans="1:14" ht="15.75" customHeight="1" thickBot="1" x14ac:dyDescent="0.35">
      <c r="A29" s="53"/>
      <c r="B29" s="52"/>
      <c r="C29" s="54"/>
      <c r="D29" s="52"/>
      <c r="E29" s="53"/>
      <c r="F29" s="52"/>
      <c r="G29" s="54"/>
      <c r="H29" s="57">
        <f>SUM(H26:H28)</f>
        <v>26.35</v>
      </c>
    </row>
    <row r="30" spans="1:14" ht="15.75" customHeight="1" x14ac:dyDescent="0.3">
      <c r="A30" s="76" t="s">
        <v>45</v>
      </c>
      <c r="B30" s="75"/>
      <c r="C30" s="77"/>
      <c r="D30" s="78" t="s">
        <v>21</v>
      </c>
      <c r="E30" s="79"/>
      <c r="F30" s="80" t="s">
        <v>43</v>
      </c>
      <c r="G30" s="78"/>
      <c r="H30" s="80" t="s">
        <v>23</v>
      </c>
      <c r="J30" s="110"/>
    </row>
    <row r="31" spans="1:14" ht="15.75" customHeight="1" x14ac:dyDescent="0.3">
      <c r="A31" s="53" t="s">
        <v>46</v>
      </c>
      <c r="B31" s="52"/>
      <c r="C31" s="54"/>
      <c r="D31" s="89">
        <v>0.03</v>
      </c>
      <c r="E31" s="53"/>
      <c r="F31" s="111">
        <f>D37</f>
        <v>878.37750000000005</v>
      </c>
      <c r="G31" s="54"/>
      <c r="H31" s="111">
        <f>TRUNC(F31*D31,2)</f>
        <v>26.35</v>
      </c>
      <c r="J31" s="110"/>
    </row>
    <row r="32" spans="1:14" ht="15.75" customHeight="1" x14ac:dyDescent="0.3">
      <c r="A32" s="53" t="s">
        <v>47</v>
      </c>
      <c r="B32" s="52"/>
      <c r="C32" s="54"/>
      <c r="D32" s="52"/>
      <c r="E32" s="53"/>
      <c r="F32" s="52"/>
      <c r="G32" s="54"/>
      <c r="H32" s="111">
        <f>TRUNC(IF(G10="Weekly",'PAYE Weekly'!N23,IF(G10="Fortnightly",'PAYE Fortnightly'!N23,IF(G10="monthly",'PAYE Monthly'!N23," "))),2)</f>
        <v>4.55</v>
      </c>
      <c r="J32" s="110"/>
    </row>
    <row r="33" spans="1:10" ht="15.75" customHeight="1" thickBot="1" x14ac:dyDescent="0.35">
      <c r="A33" s="53"/>
      <c r="B33" s="52"/>
      <c r="C33" s="54"/>
      <c r="D33" s="52"/>
      <c r="E33" s="53"/>
      <c r="F33" s="52"/>
      <c r="G33" s="54"/>
      <c r="H33" s="57">
        <f>H31-H32</f>
        <v>21.8</v>
      </c>
    </row>
    <row r="34" spans="1:10" ht="15.75" customHeight="1" x14ac:dyDescent="0.3">
      <c r="A34" s="76" t="s">
        <v>48</v>
      </c>
      <c r="B34" s="75"/>
      <c r="C34" s="77"/>
      <c r="D34" s="76"/>
      <c r="E34" s="79"/>
      <c r="F34" s="80"/>
      <c r="G34" s="78"/>
      <c r="H34" s="80"/>
    </row>
    <row r="35" spans="1:10" ht="15.75" customHeight="1" x14ac:dyDescent="0.25">
      <c r="A35" s="118" t="s">
        <v>49</v>
      </c>
      <c r="B35" s="125"/>
      <c r="C35" s="54"/>
      <c r="D35" s="61">
        <f>H17+H24</f>
        <v>878.37750000000005</v>
      </c>
      <c r="E35" s="50" t="s">
        <v>50</v>
      </c>
      <c r="H35" s="107">
        <f>IF(G10="Weekly",'PAYE Weekly'!G3,IF(G10="Fortnightly",'PAYE Fortnightly'!G3,IF(G10="monthly",'PAYE Monthly'!G3," ")))</f>
        <v>147.69</v>
      </c>
      <c r="I35" s="66"/>
    </row>
    <row r="36" spans="1:10" ht="15.75" customHeight="1" x14ac:dyDescent="0.25">
      <c r="A36" s="118" t="s">
        <v>51</v>
      </c>
      <c r="B36" s="125"/>
      <c r="C36" s="54"/>
      <c r="D36" s="72"/>
      <c r="E36" s="118" t="s">
        <v>42</v>
      </c>
      <c r="F36" s="125"/>
      <c r="G36" s="59"/>
      <c r="H36" s="58">
        <f>H29</f>
        <v>26.35</v>
      </c>
      <c r="J36" s="112"/>
    </row>
    <row r="37" spans="1:10" ht="15.75" customHeight="1" x14ac:dyDescent="0.3">
      <c r="A37" s="60" t="s">
        <v>52</v>
      </c>
      <c r="C37" s="54"/>
      <c r="D37" s="61">
        <f>SUM(D35:D36)</f>
        <v>878.37750000000005</v>
      </c>
      <c r="E37" s="54" t="s">
        <v>53</v>
      </c>
      <c r="F37" s="52"/>
      <c r="G37" s="52"/>
      <c r="H37" s="58">
        <f>IF(G10="Weekly",'PAYE Weekly'!H3,IF(G10="Fortnightly",'PAYE Fortnightly'!H3,IF(G10="monthly",'PAYE Monthly'!H3," ")))</f>
        <v>0</v>
      </c>
    </row>
    <row r="38" spans="1:10" ht="15.75" customHeight="1" thickBot="1" x14ac:dyDescent="0.35">
      <c r="A38" s="118" t="s">
        <v>54</v>
      </c>
      <c r="B38" s="125"/>
      <c r="C38" s="54"/>
      <c r="D38" s="72"/>
      <c r="E38" s="126" t="s">
        <v>55</v>
      </c>
      <c r="F38" s="125"/>
      <c r="G38" s="54"/>
      <c r="H38" s="62">
        <f>D39-SUM(H35:H37)</f>
        <v>704.33750000000009</v>
      </c>
    </row>
    <row r="39" spans="1:10" ht="15.75" customHeight="1" x14ac:dyDescent="0.3">
      <c r="A39" s="126" t="s">
        <v>56</v>
      </c>
      <c r="B39" s="125"/>
      <c r="C39" s="54"/>
      <c r="D39" s="73">
        <f>SUM(D37:D38)</f>
        <v>878.37750000000005</v>
      </c>
      <c r="E39" s="132" t="s">
        <v>57</v>
      </c>
      <c r="F39" s="133"/>
      <c r="H39" s="106">
        <f>H33</f>
        <v>21.8</v>
      </c>
    </row>
    <row r="40" spans="1:10" ht="15.75" customHeight="1" x14ac:dyDescent="0.25">
      <c r="A40" s="118"/>
      <c r="B40" s="119"/>
      <c r="C40" s="119"/>
      <c r="D40" s="119"/>
      <c r="E40" s="119"/>
      <c r="F40" s="119"/>
      <c r="G40" s="119"/>
      <c r="H40" s="119"/>
    </row>
    <row r="41" spans="1:10" ht="15.75" customHeight="1" x14ac:dyDescent="0.3">
      <c r="A41" s="76" t="s">
        <v>58</v>
      </c>
      <c r="B41" s="75"/>
      <c r="C41" s="77"/>
      <c r="D41" s="76"/>
      <c r="E41" s="79"/>
      <c r="F41" s="80"/>
      <c r="G41" s="78"/>
      <c r="H41" s="80"/>
    </row>
    <row r="42" spans="1:10" ht="20.25" customHeight="1" thickBot="1" x14ac:dyDescent="0.35">
      <c r="A42" s="63" t="s">
        <v>59</v>
      </c>
      <c r="B42" s="64"/>
      <c r="C42" s="64"/>
      <c r="D42" s="120" t="s">
        <v>60</v>
      </c>
      <c r="E42" s="120"/>
      <c r="F42" s="64"/>
      <c r="G42" s="64"/>
      <c r="H42" s="65">
        <f>H38</f>
        <v>704.33750000000009</v>
      </c>
    </row>
  </sheetData>
  <mergeCells count="27">
    <mergeCell ref="C12:D12"/>
    <mergeCell ref="E39:F39"/>
    <mergeCell ref="E12:F12"/>
    <mergeCell ref="G12:H12"/>
    <mergeCell ref="A1:B3"/>
    <mergeCell ref="C1:E3"/>
    <mergeCell ref="F1:H3"/>
    <mergeCell ref="A8:B9"/>
    <mergeCell ref="A5:B5"/>
    <mergeCell ref="A6:B6"/>
    <mergeCell ref="A4:B4"/>
    <mergeCell ref="J5:R6"/>
    <mergeCell ref="A40:H40"/>
    <mergeCell ref="D42:E42"/>
    <mergeCell ref="E10:F10"/>
    <mergeCell ref="G10:H10"/>
    <mergeCell ref="A35:B35"/>
    <mergeCell ref="E36:F36"/>
    <mergeCell ref="A36:B36"/>
    <mergeCell ref="A38:B38"/>
    <mergeCell ref="A39:B39"/>
    <mergeCell ref="E38:F38"/>
    <mergeCell ref="A11:B11"/>
    <mergeCell ref="C11:D11"/>
    <mergeCell ref="E11:F11"/>
    <mergeCell ref="G11:H11"/>
    <mergeCell ref="A12:B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285D3CA-2801-4026-B10A-545FCFC88BF4}">
          <x14:formula1>
            <xm:f>'Pay Periods'!$A$1:$A$3</xm:f>
          </x14:formula1>
          <xm:sqref>G10</xm:sqref>
        </x14:dataValidation>
        <x14:dataValidation type="list" allowBlank="1" showInputMessage="1" showErrorMessage="1" xr:uid="{719CEAD4-F294-47AB-BD79-75587B131F1E}">
          <x14:formula1>
            <xm:f>'Tax Codes'!$A$1:$A$18</xm:f>
          </x14:formula1>
          <xm:sqref>G11:H11</xm:sqref>
        </x14:dataValidation>
        <x14:dataValidation type="list" allowBlank="1" showInputMessage="1" showErrorMessage="1" xr:uid="{C16D7EC3-066B-465A-91D9-57F878F6F0C5}">
          <x14:formula1>
            <xm:f>'Kiwisaver Rates'!$A$1:$A$5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CAB1-CD27-4434-AFF5-5E886B89669D}">
  <sheetPr codeName="Sheet2"/>
  <dimension ref="A1:Q76"/>
  <sheetViews>
    <sheetView zoomScale="85" zoomScaleNormal="85" workbookViewId="0">
      <selection activeCell="L1" sqref="L1:Q7"/>
    </sheetView>
  </sheetViews>
  <sheetFormatPr defaultRowHeight="14.5" x14ac:dyDescent="0.35"/>
  <cols>
    <col min="1" max="1" width="13.7265625" customWidth="1"/>
    <col min="2" max="2" width="13.81640625" bestFit="1" customWidth="1"/>
    <col min="3" max="3" width="17.54296875" bestFit="1" customWidth="1"/>
    <col min="4" max="4" width="13.81640625" bestFit="1" customWidth="1"/>
    <col min="5" max="5" width="13.453125" customWidth="1"/>
    <col min="6" max="6" width="18.26953125" bestFit="1" customWidth="1"/>
    <col min="7" max="7" width="18.54296875" customWidth="1"/>
    <col min="8" max="8" width="18.54296875" bestFit="1" customWidth="1"/>
    <col min="9" max="9" width="14.81640625" customWidth="1"/>
    <col min="11" max="11" width="17.26953125" customWidth="1"/>
    <col min="12" max="12" width="23.81640625" customWidth="1"/>
    <col min="13" max="14" width="12.26953125" bestFit="1" customWidth="1"/>
    <col min="15" max="15" width="12.453125" bestFit="1" customWidth="1"/>
    <col min="16" max="16" width="12.54296875" bestFit="1" customWidth="1"/>
    <col min="17" max="17" width="14.26953125" bestFit="1" customWidth="1"/>
  </cols>
  <sheetData>
    <row r="1" spans="1:17" ht="20.5" thickBot="1" x14ac:dyDescent="0.45">
      <c r="A1" s="146" t="s">
        <v>61</v>
      </c>
      <c r="B1" s="147"/>
      <c r="C1" s="147"/>
      <c r="D1" s="147"/>
      <c r="E1" s="147"/>
      <c r="F1" s="147"/>
      <c r="G1" s="147"/>
      <c r="H1" s="147"/>
      <c r="I1" s="148"/>
      <c r="L1" s="37" t="s">
        <v>135</v>
      </c>
      <c r="M1" s="38"/>
      <c r="N1" s="38"/>
    </row>
    <row r="2" spans="1:17" ht="15" thickBot="1" x14ac:dyDescent="0.4">
      <c r="A2" s="1" t="s">
        <v>62</v>
      </c>
      <c r="B2" s="1" t="s">
        <v>63</v>
      </c>
      <c r="C2" s="1" t="s">
        <v>64</v>
      </c>
      <c r="D2" s="1" t="s">
        <v>9</v>
      </c>
      <c r="E2" s="1" t="s">
        <v>12</v>
      </c>
      <c r="F2" s="1" t="s">
        <v>65</v>
      </c>
      <c r="G2" s="2" t="s">
        <v>66</v>
      </c>
      <c r="H2" s="3" t="s">
        <v>53</v>
      </c>
      <c r="I2" s="3" t="s">
        <v>55</v>
      </c>
      <c r="L2" s="37"/>
      <c r="M2" s="39" t="s">
        <v>67</v>
      </c>
      <c r="N2" s="40" t="s">
        <v>68</v>
      </c>
      <c r="O2" s="40" t="s">
        <v>69</v>
      </c>
      <c r="P2" s="40" t="s">
        <v>70</v>
      </c>
      <c r="Q2" s="40" t="s">
        <v>62</v>
      </c>
    </row>
    <row r="3" spans="1:17" ht="15" thickBot="1" x14ac:dyDescent="0.4">
      <c r="A3" s="4"/>
      <c r="B3" s="4"/>
      <c r="C3" s="4"/>
      <c r="D3" s="4">
        <f>Payslip!D37</f>
        <v>878.37750000000005</v>
      </c>
      <c r="E3" s="5" t="str">
        <f>Payslip!G11</f>
        <v>M</v>
      </c>
      <c r="F3" s="6">
        <f>IF(A3&gt;0,12,IF(B3&gt;0,26,IF(C3&gt;0,13,IF(D3&gt;0,52,0))))</f>
        <v>52</v>
      </c>
      <c r="G3" s="7">
        <f>SUM(H8,C16,C24,C32,C48,C56,C60,C64,I68,C76,C40)</f>
        <v>147.69</v>
      </c>
      <c r="H3" s="7">
        <f>SUM(D12,C20,C28,C36,C52,D72,C44)</f>
        <v>0</v>
      </c>
      <c r="I3" s="7">
        <f>SUM(A3:D3)-SUM(G3:H3)</f>
        <v>730.6875</v>
      </c>
      <c r="L3" s="37" t="s">
        <v>71</v>
      </c>
      <c r="M3" s="38">
        <v>1.3899999999999999E-2</v>
      </c>
      <c r="N3" s="38">
        <v>1.46E-2</v>
      </c>
      <c r="O3" s="38"/>
      <c r="P3" s="38"/>
      <c r="Q3" s="38"/>
    </row>
    <row r="4" spans="1:17" x14ac:dyDescent="0.35">
      <c r="A4" s="8"/>
      <c r="B4" s="9"/>
      <c r="C4" s="9"/>
      <c r="D4" s="10"/>
      <c r="E4" s="11"/>
      <c r="F4" s="11"/>
      <c r="G4" s="10"/>
      <c r="H4" s="9"/>
      <c r="I4" s="12"/>
      <c r="L4" s="37" t="s">
        <v>72</v>
      </c>
      <c r="M4" s="41">
        <v>130911</v>
      </c>
      <c r="N4" s="41">
        <v>136544</v>
      </c>
      <c r="O4" s="42">
        <v>2625.8461538461538</v>
      </c>
      <c r="P4" s="42">
        <v>5251.6923076923076</v>
      </c>
      <c r="Q4" s="42">
        <v>11378.666666666666</v>
      </c>
    </row>
    <row r="5" spans="1:17" x14ac:dyDescent="0.35">
      <c r="A5" s="8"/>
      <c r="B5" s="9"/>
      <c r="C5" s="9"/>
      <c r="D5" s="9"/>
      <c r="E5" s="13"/>
      <c r="F5" s="13"/>
      <c r="G5" s="9"/>
      <c r="H5" s="9"/>
      <c r="I5" s="12"/>
      <c r="L5" s="37" t="s">
        <v>73</v>
      </c>
      <c r="M5" s="41">
        <v>1819.6628999999998</v>
      </c>
      <c r="N5" s="41">
        <v>1993.5424</v>
      </c>
      <c r="O5" s="42">
        <v>38.337353846153846</v>
      </c>
      <c r="P5" s="42">
        <v>76.674707692307692</v>
      </c>
      <c r="Q5" s="42">
        <v>166.12853333333334</v>
      </c>
    </row>
    <row r="6" spans="1:17" x14ac:dyDescent="0.35">
      <c r="A6" s="14" t="s">
        <v>74</v>
      </c>
      <c r="B6" s="15"/>
      <c r="C6" s="15"/>
      <c r="D6" s="9"/>
      <c r="E6" s="9"/>
      <c r="F6" s="9"/>
      <c r="G6" s="9"/>
      <c r="H6" s="9"/>
      <c r="I6" s="12"/>
      <c r="L6" s="37"/>
      <c r="M6" s="38"/>
      <c r="N6" s="38"/>
    </row>
    <row r="7" spans="1:17" x14ac:dyDescent="0.35">
      <c r="A7" s="16" t="s">
        <v>75</v>
      </c>
      <c r="B7" s="17" t="s">
        <v>76</v>
      </c>
      <c r="C7" s="17" t="s">
        <v>77</v>
      </c>
      <c r="D7" s="17" t="s">
        <v>78</v>
      </c>
      <c r="E7" s="17" t="s">
        <v>79</v>
      </c>
      <c r="F7" s="17" t="s">
        <v>80</v>
      </c>
      <c r="G7" s="17" t="s">
        <v>81</v>
      </c>
      <c r="H7" s="18" t="s">
        <v>66</v>
      </c>
      <c r="I7" s="19"/>
      <c r="K7" s="43"/>
      <c r="L7" s="37" t="s">
        <v>82</v>
      </c>
      <c r="M7" s="114">
        <v>20280</v>
      </c>
      <c r="N7" s="114">
        <v>21268</v>
      </c>
      <c r="O7" s="113">
        <v>409</v>
      </c>
      <c r="P7" s="113">
        <v>818</v>
      </c>
      <c r="Q7" s="113">
        <v>1772.33</v>
      </c>
    </row>
    <row r="8" spans="1:17" x14ac:dyDescent="0.35">
      <c r="A8" s="20">
        <f>IF(OR($E$3="M",$E$3="MSL"),IF($A$3&gt;0,$A$3,IF($B$3&gt;0,$B$3,IF($C$3&gt;0,$C$3,IF($D$3&gt;0,$D$3,0)))),0)</f>
        <v>878.37750000000005</v>
      </c>
      <c r="B8" s="21">
        <f>IF($A$3&gt;0,A8*12,IF($B$3&gt;0,A8*26,IF($C$3&gt;0,A8*13,IF($D$3&gt;0,A8*52,0))))</f>
        <v>45675.630000000005</v>
      </c>
      <c r="C8" s="21">
        <f>TRUNC(B8,0)</f>
        <v>45675</v>
      </c>
      <c r="D8" s="21">
        <f>IF(C8&lt;=14000,(C8*0.105),IF(C8&lt;=48000,(C8*0.175)-980,IF(C8&lt;=70000,(C8*0.3)-6980,IF(C8&lt;=180000,(C8*0.33)-9080,IF(C8&gt;180000,(C8*0.39)-19880,0)))))</f>
        <v>7013.1249999999991</v>
      </c>
      <c r="E8" s="21">
        <f>IF(C8&lt;=N4,C8*N3,IF(C8&gt;=N4,N5,0))</f>
        <v>666.85500000000002</v>
      </c>
      <c r="F8" s="21">
        <f>D8+E8</f>
        <v>7679.98</v>
      </c>
      <c r="G8" s="21">
        <f>TRUNC(F8/52,2)</f>
        <v>147.69</v>
      </c>
      <c r="H8" s="22">
        <f>TRUNC(IF(A3&gt;0,(G8*52)/12,IF(B3&gt;0,(G8*52)/26,IF(C3&gt;0,(G8*52)/13,IF(D3&gt;0,G8,0)))),2)</f>
        <v>147.69</v>
      </c>
      <c r="I8" s="12"/>
      <c r="K8" s="44"/>
      <c r="L8" s="37"/>
      <c r="M8" s="38"/>
      <c r="N8" s="38"/>
    </row>
    <row r="9" spans="1:17" ht="15" thickBot="1" x14ac:dyDescent="0.4">
      <c r="A9" s="8"/>
      <c r="B9" s="9"/>
      <c r="C9" s="9"/>
      <c r="D9" s="9"/>
      <c r="E9" s="9"/>
      <c r="F9" s="9"/>
      <c r="G9" s="10"/>
      <c r="H9" s="23"/>
      <c r="I9" s="12"/>
    </row>
    <row r="10" spans="1:17" ht="43.5" x14ac:dyDescent="0.35">
      <c r="A10" s="14" t="s">
        <v>83</v>
      </c>
      <c r="B10" s="15"/>
      <c r="C10" s="15"/>
      <c r="D10" s="9"/>
      <c r="E10" s="9"/>
      <c r="F10" s="9"/>
      <c r="G10" s="9"/>
      <c r="H10" s="9"/>
      <c r="I10" s="12"/>
      <c r="L10" s="92" t="s">
        <v>84</v>
      </c>
      <c r="M10" s="93" t="s">
        <v>85</v>
      </c>
      <c r="N10" s="94" t="s">
        <v>86</v>
      </c>
    </row>
    <row r="11" spans="1:17" x14ac:dyDescent="0.35">
      <c r="A11" s="16" t="s">
        <v>87</v>
      </c>
      <c r="B11" s="17" t="s">
        <v>88</v>
      </c>
      <c r="C11" s="17" t="s">
        <v>89</v>
      </c>
      <c r="D11" s="18" t="s">
        <v>53</v>
      </c>
      <c r="E11" s="9"/>
      <c r="F11" s="9"/>
      <c r="G11" s="9"/>
      <c r="H11" s="9"/>
      <c r="I11" s="12"/>
      <c r="L11" s="95" t="s">
        <v>90</v>
      </c>
      <c r="M11" s="96">
        <v>0</v>
      </c>
      <c r="N11" s="97">
        <v>0.105</v>
      </c>
      <c r="P11" s="86"/>
      <c r="Q11" s="44"/>
    </row>
    <row r="12" spans="1:17" x14ac:dyDescent="0.35">
      <c r="A12" s="20">
        <f>IF($E$3="MSL",(IF($A$3&gt;0,$A$3,IF($B$3&gt;0,$B$3,IF($C$3&gt;0,$C$3,IF($D$3&gt;0,$D$3,0))))),0)</f>
        <v>0</v>
      </c>
      <c r="B12" s="21">
        <f>TRUNC(A12,0)</f>
        <v>0</v>
      </c>
      <c r="C12" s="21">
        <v>409</v>
      </c>
      <c r="D12" s="22">
        <f>TRUNC(IF(B12&lt;C12,0,IF(B12&gt;C12,(B12-C12)*0.12,0)),2)</f>
        <v>0</v>
      </c>
      <c r="E12" s="24"/>
      <c r="F12" s="10"/>
      <c r="G12" s="23"/>
      <c r="H12" s="9"/>
      <c r="I12" s="12"/>
      <c r="L12" s="95" t="s">
        <v>91</v>
      </c>
      <c r="M12" s="96">
        <v>16801</v>
      </c>
      <c r="N12" s="97">
        <v>0.17499999999999999</v>
      </c>
      <c r="P12" s="86"/>
      <c r="Q12" s="44"/>
    </row>
    <row r="13" spans="1:17" x14ac:dyDescent="0.35">
      <c r="A13" s="8"/>
      <c r="B13" s="9"/>
      <c r="C13" s="9"/>
      <c r="D13" s="9"/>
      <c r="E13" s="9"/>
      <c r="F13" s="9"/>
      <c r="G13" s="9"/>
      <c r="H13" s="9"/>
      <c r="I13" s="12"/>
      <c r="L13" s="95" t="s">
        <v>92</v>
      </c>
      <c r="M13" s="96">
        <v>57601</v>
      </c>
      <c r="N13" s="97">
        <v>0.3</v>
      </c>
    </row>
    <row r="14" spans="1:17" x14ac:dyDescent="0.35">
      <c r="A14" s="14" t="s">
        <v>93</v>
      </c>
      <c r="B14" s="25"/>
      <c r="C14" s="25"/>
      <c r="D14" s="9"/>
      <c r="E14" s="9"/>
      <c r="F14" s="9"/>
      <c r="G14" s="9"/>
      <c r="H14" s="9"/>
      <c r="I14" s="12"/>
      <c r="L14" s="95" t="s">
        <v>94</v>
      </c>
      <c r="M14" s="96">
        <v>84001</v>
      </c>
      <c r="N14" s="97">
        <v>0.33</v>
      </c>
      <c r="O14" s="86"/>
      <c r="P14" s="86"/>
      <c r="Q14" s="44"/>
    </row>
    <row r="15" spans="1:17" ht="15" thickBot="1" x14ac:dyDescent="0.4">
      <c r="A15" s="16" t="s">
        <v>87</v>
      </c>
      <c r="B15" s="17" t="s">
        <v>88</v>
      </c>
      <c r="C15" s="18" t="s">
        <v>66</v>
      </c>
      <c r="D15" s="9"/>
      <c r="E15" s="9"/>
      <c r="F15" s="9"/>
      <c r="G15" s="9"/>
      <c r="H15" s="9"/>
      <c r="I15" s="12"/>
      <c r="L15" s="98" t="s">
        <v>95</v>
      </c>
      <c r="M15" s="99">
        <v>216001</v>
      </c>
      <c r="N15" s="100">
        <v>0.39</v>
      </c>
      <c r="O15" s="44"/>
      <c r="P15" s="44"/>
    </row>
    <row r="16" spans="1:17" x14ac:dyDescent="0.35">
      <c r="A16" s="20">
        <f>IF(OR($E$3="S",$E$3="SSL"),IF($A$3&gt;0,$A$3,IF($B$3&gt;0,$B$3,IF($C$3&gt;0,$C$3,IF($D$3&gt;0,$D$3,0)))),0)</f>
        <v>0</v>
      </c>
      <c r="B16" s="21">
        <f>(TRUNC(A16,0))</f>
        <v>0</v>
      </c>
      <c r="C16" s="22">
        <f>TRUNC(B16*0.1889,2)</f>
        <v>0</v>
      </c>
      <c r="D16" s="9"/>
      <c r="E16" s="9"/>
      <c r="F16" s="9"/>
      <c r="G16" s="9"/>
      <c r="H16" s="9"/>
      <c r="I16" s="12"/>
      <c r="O16" s="46"/>
      <c r="P16" s="44"/>
      <c r="Q16" s="46"/>
    </row>
    <row r="17" spans="1:17" x14ac:dyDescent="0.35">
      <c r="A17" s="8"/>
      <c r="B17" s="9"/>
      <c r="C17" s="9"/>
      <c r="D17" s="9"/>
      <c r="E17" s="9"/>
      <c r="F17" s="9"/>
      <c r="G17" s="26"/>
      <c r="H17" s="26"/>
      <c r="I17" s="12"/>
      <c r="K17" s="86"/>
      <c r="Q17" s="44"/>
    </row>
    <row r="18" spans="1:17" x14ac:dyDescent="0.35">
      <c r="A18" s="14" t="s">
        <v>96</v>
      </c>
      <c r="B18" s="25"/>
      <c r="C18" s="25"/>
      <c r="D18" s="9"/>
      <c r="E18" s="9"/>
      <c r="F18" s="9"/>
      <c r="G18" s="27"/>
      <c r="H18" s="27"/>
      <c r="I18" s="12"/>
      <c r="K18" s="44"/>
      <c r="L18" s="91" t="s">
        <v>97</v>
      </c>
      <c r="N18" s="101">
        <f>C8</f>
        <v>45675</v>
      </c>
      <c r="P18" s="44"/>
    </row>
    <row r="19" spans="1:17" ht="29" x14ac:dyDescent="0.35">
      <c r="A19" s="16" t="s">
        <v>87</v>
      </c>
      <c r="B19" s="17" t="s">
        <v>88</v>
      </c>
      <c r="C19" s="18" t="s">
        <v>53</v>
      </c>
      <c r="D19" s="9"/>
      <c r="E19" s="9"/>
      <c r="F19" s="9"/>
      <c r="G19" s="9"/>
      <c r="H19" s="9"/>
      <c r="I19" s="12"/>
      <c r="K19" s="46"/>
      <c r="L19" s="102" t="s">
        <v>98</v>
      </c>
      <c r="M19" s="103">
        <f>Payslip!D31</f>
        <v>0.03</v>
      </c>
      <c r="N19" s="101">
        <f>N18*M19</f>
        <v>1370.25</v>
      </c>
    </row>
    <row r="20" spans="1:17" ht="15" thickBot="1" x14ac:dyDescent="0.4">
      <c r="A20" s="20">
        <f>IF(E3="SSL",IF(A3&gt;0,A3,IF(B3&gt;0,B3,IF(C3&gt;0,C3,IF(D3&gt;0,D3,0)))),0)</f>
        <v>0</v>
      </c>
      <c r="B20" s="21">
        <f>TRUNC(A20,0)</f>
        <v>0</v>
      </c>
      <c r="C20" s="22">
        <f>TRUNC(B20*0.12,2)</f>
        <v>0</v>
      </c>
      <c r="D20" s="9"/>
      <c r="E20" s="9"/>
      <c r="F20" s="9"/>
      <c r="G20" s="9"/>
      <c r="H20" s="9"/>
      <c r="I20" s="12"/>
      <c r="L20" s="91" t="s">
        <v>99</v>
      </c>
      <c r="N20" s="104">
        <f>SUM(N18:N19)</f>
        <v>47045.25</v>
      </c>
      <c r="O20" s="47"/>
    </row>
    <row r="21" spans="1:17" ht="15" thickBot="1" x14ac:dyDescent="0.4">
      <c r="A21" s="8"/>
      <c r="B21" s="9"/>
      <c r="C21" s="9"/>
      <c r="D21" s="9"/>
      <c r="E21" s="9"/>
      <c r="F21" s="9"/>
      <c r="G21" s="9"/>
      <c r="H21" s="9"/>
      <c r="I21" s="12"/>
      <c r="L21" s="91"/>
      <c r="O21" s="47"/>
      <c r="P21" s="44"/>
      <c r="Q21" s="44"/>
    </row>
    <row r="22" spans="1:17" ht="15" thickBot="1" x14ac:dyDescent="0.4">
      <c r="A22" s="14" t="s">
        <v>100</v>
      </c>
      <c r="B22" s="25"/>
      <c r="C22" s="25"/>
      <c r="D22" s="9"/>
      <c r="E22" s="9"/>
      <c r="F22" s="9"/>
      <c r="G22" s="9"/>
      <c r="H22" s="9"/>
      <c r="I22" s="12"/>
      <c r="L22" s="91" t="s">
        <v>101</v>
      </c>
      <c r="N22" s="105">
        <f>VLOOKUP(N20,M11:N15,2,TRUE)</f>
        <v>0.17499999999999999</v>
      </c>
      <c r="O22" s="47"/>
      <c r="P22" s="44"/>
      <c r="Q22" s="44"/>
    </row>
    <row r="23" spans="1:17" x14ac:dyDescent="0.35">
      <c r="A23" s="16" t="s">
        <v>87</v>
      </c>
      <c r="B23" s="17" t="s">
        <v>88</v>
      </c>
      <c r="C23" s="18" t="s">
        <v>66</v>
      </c>
      <c r="D23" s="9"/>
      <c r="E23" s="9"/>
      <c r="F23" s="9"/>
      <c r="G23" s="9"/>
      <c r="H23" s="9"/>
      <c r="I23" s="12"/>
      <c r="K23" s="47"/>
      <c r="L23" s="48" t="s">
        <v>102</v>
      </c>
      <c r="M23" s="44"/>
      <c r="N23" s="90">
        <f>TRUNC(Payslip!H31,0)*N22</f>
        <v>4.55</v>
      </c>
      <c r="O23" s="47"/>
      <c r="P23" s="48"/>
      <c r="Q23" s="44"/>
    </row>
    <row r="24" spans="1:17" x14ac:dyDescent="0.35">
      <c r="A24" s="20">
        <f>IF(OR(E3="SH",E3="SHSL"),IF(A3&gt;0,A3,IF(B3&gt;0,B3,IF(C3&gt;0,C3,IF(D3&gt;0,D3,0)))),0)</f>
        <v>0</v>
      </c>
      <c r="B24" s="21">
        <f>(TRUNC(A24,0))</f>
        <v>0</v>
      </c>
      <c r="C24" s="22">
        <f>TRUNC(B24*0.3139,2)</f>
        <v>0</v>
      </c>
      <c r="D24" s="9"/>
      <c r="E24" s="9"/>
      <c r="F24" s="9"/>
      <c r="G24" s="9"/>
      <c r="H24" s="9"/>
      <c r="I24" s="12"/>
      <c r="K24" s="47"/>
      <c r="L24" s="44"/>
      <c r="M24" s="44"/>
      <c r="O24" s="47"/>
      <c r="P24" s="44"/>
      <c r="Q24" s="44"/>
    </row>
    <row r="25" spans="1:17" x14ac:dyDescent="0.35">
      <c r="A25" s="8"/>
      <c r="B25" s="9"/>
      <c r="C25" s="9"/>
      <c r="D25" s="9"/>
      <c r="E25" s="9"/>
      <c r="F25" s="9"/>
      <c r="G25" s="9"/>
      <c r="H25" s="9"/>
      <c r="I25" s="12"/>
      <c r="K25" s="47"/>
      <c r="L25" s="44"/>
      <c r="M25" s="44"/>
      <c r="O25" s="47"/>
      <c r="P25" s="44"/>
      <c r="Q25" s="44"/>
    </row>
    <row r="26" spans="1:17" x14ac:dyDescent="0.35">
      <c r="A26" s="14" t="s">
        <v>103</v>
      </c>
      <c r="B26" s="25"/>
      <c r="C26" s="25"/>
      <c r="D26" s="9"/>
      <c r="E26" s="9"/>
      <c r="F26" s="9"/>
      <c r="G26" s="9"/>
      <c r="H26" s="9"/>
      <c r="I26" s="12"/>
      <c r="K26" s="47"/>
      <c r="L26" s="46"/>
      <c r="M26" s="44"/>
      <c r="O26" s="87"/>
      <c r="P26" s="46"/>
      <c r="Q26" s="44"/>
    </row>
    <row r="27" spans="1:17" x14ac:dyDescent="0.35">
      <c r="A27" s="16" t="s">
        <v>87</v>
      </c>
      <c r="B27" s="17" t="s">
        <v>88</v>
      </c>
      <c r="C27" s="18" t="s">
        <v>53</v>
      </c>
      <c r="D27" s="9"/>
      <c r="E27" s="9"/>
      <c r="F27" s="9"/>
      <c r="G27" s="9"/>
      <c r="H27" s="9"/>
      <c r="I27" s="12"/>
      <c r="K27" s="47"/>
      <c r="L27" s="44"/>
      <c r="M27" s="44"/>
      <c r="O27" s="87"/>
      <c r="P27" s="44"/>
      <c r="Q27" s="44"/>
    </row>
    <row r="28" spans="1:17" x14ac:dyDescent="0.35">
      <c r="A28" s="20">
        <f>IF(E3="SHSL",IF(A3&gt;0,A3,IF(B3&gt;0,B3,IF(C3&gt;0,C3,IF(D3&gt;0,D3,0)))),0)</f>
        <v>0</v>
      </c>
      <c r="B28" s="21">
        <f>TRUNC(A28,0)</f>
        <v>0</v>
      </c>
      <c r="C28" s="22">
        <f>TRUNC(B28*0.12,2)</f>
        <v>0</v>
      </c>
      <c r="D28" s="9"/>
      <c r="E28" s="9"/>
      <c r="F28" s="9"/>
      <c r="G28" s="9"/>
      <c r="H28" s="9"/>
      <c r="I28" s="12"/>
      <c r="K28" s="47"/>
      <c r="L28" s="46"/>
      <c r="M28" s="44"/>
      <c r="O28" s="87"/>
      <c r="P28" s="46"/>
      <c r="Q28" s="44"/>
    </row>
    <row r="29" spans="1:17" x14ac:dyDescent="0.35">
      <c r="A29" s="8"/>
      <c r="B29" s="9"/>
      <c r="C29" s="9"/>
      <c r="D29" s="9"/>
      <c r="E29" s="9"/>
      <c r="F29" s="9"/>
      <c r="G29" s="9"/>
      <c r="H29" s="9"/>
      <c r="I29" s="12"/>
      <c r="K29" s="87"/>
      <c r="L29" s="44"/>
      <c r="M29" s="44"/>
      <c r="P29" s="44"/>
      <c r="Q29" s="44"/>
    </row>
    <row r="30" spans="1:17" x14ac:dyDescent="0.35">
      <c r="A30" s="14" t="s">
        <v>104</v>
      </c>
      <c r="B30" s="25"/>
      <c r="C30" s="25"/>
      <c r="D30" s="9"/>
      <c r="E30" s="9"/>
      <c r="F30" s="9"/>
      <c r="G30" s="9"/>
      <c r="H30" s="9"/>
      <c r="I30" s="12"/>
      <c r="K30" s="87"/>
      <c r="L30" s="44"/>
      <c r="M30" s="44"/>
      <c r="P30" s="44"/>
      <c r="Q30" s="44"/>
    </row>
    <row r="31" spans="1:17" x14ac:dyDescent="0.35">
      <c r="A31" s="16" t="s">
        <v>87</v>
      </c>
      <c r="B31" s="17" t="s">
        <v>88</v>
      </c>
      <c r="C31" s="18" t="s">
        <v>66</v>
      </c>
      <c r="D31" s="9"/>
      <c r="E31" s="9"/>
      <c r="F31" s="9"/>
      <c r="G31" s="9"/>
      <c r="H31" s="9"/>
      <c r="I31" s="12"/>
      <c r="K31" s="87"/>
      <c r="L31" s="88"/>
      <c r="M31" s="44"/>
      <c r="P31" s="88"/>
      <c r="Q31" s="44"/>
    </row>
    <row r="32" spans="1:17" x14ac:dyDescent="0.35">
      <c r="A32" s="20">
        <f>IF(OR(E3="ST",E3="STSL"),IF(A3&gt;0,A3,IF(B3&gt;0,B3,IF(C3&gt;0,C3,IF(D3&gt;0,D3,0)))),0)</f>
        <v>0</v>
      </c>
      <c r="B32" s="21">
        <f>(TRUNC(A32,0))</f>
        <v>0</v>
      </c>
      <c r="C32" s="22">
        <f>TRUNC(B32*0.3439,2)</f>
        <v>0</v>
      </c>
      <c r="D32" s="9"/>
      <c r="E32" s="9"/>
      <c r="F32" s="9"/>
      <c r="G32" s="9"/>
      <c r="H32" s="9"/>
      <c r="I32" s="12"/>
      <c r="M32" s="44"/>
      <c r="Q32" s="44"/>
    </row>
    <row r="33" spans="1:17" x14ac:dyDescent="0.35">
      <c r="A33" s="8"/>
      <c r="B33" s="9"/>
      <c r="C33" s="9"/>
      <c r="D33" s="9"/>
      <c r="E33" s="9"/>
      <c r="F33" s="9"/>
      <c r="G33" s="9"/>
      <c r="H33" s="9"/>
      <c r="I33" s="12"/>
      <c r="M33" s="44"/>
      <c r="Q33" s="44"/>
    </row>
    <row r="34" spans="1:17" x14ac:dyDescent="0.35">
      <c r="A34" s="14" t="s">
        <v>105</v>
      </c>
      <c r="B34" s="25"/>
      <c r="C34" s="25"/>
      <c r="D34" s="9"/>
      <c r="E34" s="9"/>
      <c r="F34" s="9"/>
      <c r="G34" s="9"/>
      <c r="H34" s="9"/>
      <c r="I34" s="12"/>
      <c r="M34" s="44"/>
      <c r="Q34" s="44"/>
    </row>
    <row r="35" spans="1:17" x14ac:dyDescent="0.35">
      <c r="A35" s="16" t="s">
        <v>87</v>
      </c>
      <c r="B35" s="17" t="s">
        <v>88</v>
      </c>
      <c r="C35" s="18" t="s">
        <v>53</v>
      </c>
      <c r="D35" s="9"/>
      <c r="E35" s="9"/>
      <c r="F35" s="9"/>
      <c r="G35" s="9"/>
      <c r="H35" s="9"/>
      <c r="I35" s="12"/>
      <c r="L35" s="44"/>
      <c r="M35" s="44"/>
      <c r="O35" s="87"/>
      <c r="P35" s="44"/>
      <c r="Q35" s="44"/>
    </row>
    <row r="36" spans="1:17" x14ac:dyDescent="0.35">
      <c r="A36" s="20">
        <f>IF(E3="STSL",IF(A3&gt;0,A3,IF(B3&gt;0,B3,IF(C3&gt;0,C3,IF(D3&gt;0,D3,0)))),0)</f>
        <v>0</v>
      </c>
      <c r="B36" s="21">
        <f>TRUNC(A36,0)</f>
        <v>0</v>
      </c>
      <c r="C36" s="22">
        <f>TRUNC(B36*0.12,2)</f>
        <v>0</v>
      </c>
      <c r="D36" s="9"/>
      <c r="E36" s="9"/>
      <c r="F36" s="9"/>
      <c r="G36" s="9"/>
      <c r="H36" s="9"/>
      <c r="I36" s="12"/>
      <c r="L36" s="46"/>
      <c r="M36" s="44"/>
      <c r="O36" s="87"/>
      <c r="P36" s="46"/>
      <c r="Q36" s="44"/>
    </row>
    <row r="37" spans="1:17" x14ac:dyDescent="0.35">
      <c r="A37" s="8"/>
      <c r="B37" s="9"/>
      <c r="C37" s="9"/>
      <c r="D37" s="9"/>
      <c r="E37" s="9"/>
      <c r="F37" s="9"/>
      <c r="G37" s="9"/>
      <c r="H37" s="9"/>
      <c r="I37" s="12"/>
      <c r="M37" s="44"/>
      <c r="Q37" s="44"/>
    </row>
    <row r="38" spans="1:17" x14ac:dyDescent="0.35">
      <c r="A38" s="14" t="s">
        <v>106</v>
      </c>
      <c r="B38" s="25"/>
      <c r="C38" s="25"/>
      <c r="D38" s="9"/>
      <c r="E38" s="9"/>
      <c r="F38" s="9"/>
      <c r="G38" s="9"/>
      <c r="H38" s="9"/>
      <c r="I38" s="12"/>
      <c r="K38" s="87"/>
      <c r="L38" s="44"/>
      <c r="M38" s="44"/>
      <c r="P38" s="44"/>
      <c r="Q38" s="44"/>
    </row>
    <row r="39" spans="1:17" x14ac:dyDescent="0.35">
      <c r="A39" s="16" t="s">
        <v>87</v>
      </c>
      <c r="B39" s="17" t="s">
        <v>88</v>
      </c>
      <c r="C39" s="18" t="s">
        <v>66</v>
      </c>
      <c r="D39" s="9"/>
      <c r="E39" s="9"/>
      <c r="F39" s="9"/>
      <c r="G39" s="9"/>
      <c r="H39" s="9"/>
      <c r="I39" s="12"/>
      <c r="K39" s="87"/>
      <c r="L39" s="88"/>
      <c r="M39" s="44"/>
      <c r="P39" s="88"/>
      <c r="Q39" s="44"/>
    </row>
    <row r="40" spans="1:17" x14ac:dyDescent="0.35">
      <c r="A40" s="20">
        <f>IF(E3="SA",IF(A3&gt;0,A3,IF(B3&gt;0,B3,IF(C3&gt;0,C3,IF(D3&gt;0,D3,0)))),0)</f>
        <v>0</v>
      </c>
      <c r="B40" s="21">
        <f>TRUNC(A40,0)</f>
        <v>0</v>
      </c>
      <c r="C40" s="22">
        <f>TRUNC(B40*0.4039,2)</f>
        <v>0</v>
      </c>
      <c r="D40" s="9"/>
      <c r="E40" s="9"/>
      <c r="F40" s="9"/>
      <c r="G40" s="9"/>
      <c r="H40" s="9"/>
      <c r="I40" s="12"/>
      <c r="M40" s="44"/>
      <c r="Q40" s="44"/>
    </row>
    <row r="41" spans="1:17" x14ac:dyDescent="0.35">
      <c r="A41" s="8"/>
      <c r="B41" s="9"/>
      <c r="C41" s="9"/>
      <c r="D41" s="9"/>
      <c r="E41" s="9"/>
      <c r="F41" s="9"/>
      <c r="G41" s="9"/>
      <c r="H41" s="9"/>
      <c r="I41" s="12"/>
      <c r="M41" s="44"/>
      <c r="Q41" s="44"/>
    </row>
    <row r="42" spans="1:17" x14ac:dyDescent="0.35">
      <c r="A42" s="14" t="s">
        <v>107</v>
      </c>
      <c r="B42" s="25"/>
      <c r="C42" s="25"/>
      <c r="D42" s="9"/>
      <c r="E42" s="9"/>
      <c r="F42" s="9"/>
      <c r="G42" s="9"/>
      <c r="H42" s="9"/>
      <c r="I42" s="12"/>
      <c r="M42" s="44"/>
      <c r="Q42" s="44"/>
    </row>
    <row r="43" spans="1:17" x14ac:dyDescent="0.35">
      <c r="A43" s="16" t="s">
        <v>87</v>
      </c>
      <c r="B43" s="17" t="s">
        <v>88</v>
      </c>
      <c r="C43" s="18" t="s">
        <v>53</v>
      </c>
      <c r="D43" s="9"/>
      <c r="E43" s="9"/>
      <c r="F43" s="9"/>
      <c r="G43" s="9"/>
      <c r="H43" s="9"/>
      <c r="I43" s="12"/>
      <c r="M43" s="44"/>
      <c r="Q43" s="44"/>
    </row>
    <row r="44" spans="1:17" x14ac:dyDescent="0.35">
      <c r="A44" s="20">
        <f>IF(E3="SASL",IF(A3&gt;0,A3,IF(B3&gt;0,B3,IF(C3&gt;0,C3,IF(D3&gt;0,D3,0)))),0)</f>
        <v>0</v>
      </c>
      <c r="B44" s="21">
        <f>TRUNC(A44,0)</f>
        <v>0</v>
      </c>
      <c r="C44" s="22">
        <f>TRUNC(B44*0.12,2)</f>
        <v>0</v>
      </c>
      <c r="D44" s="9"/>
      <c r="E44" s="9"/>
      <c r="F44" s="9"/>
      <c r="G44" s="9"/>
      <c r="H44" s="9"/>
      <c r="I44" s="12"/>
    </row>
    <row r="45" spans="1:17" x14ac:dyDescent="0.35">
      <c r="A45" s="8"/>
      <c r="B45" s="9"/>
      <c r="C45" s="9"/>
      <c r="D45" s="9"/>
      <c r="E45" s="9"/>
      <c r="F45" s="9"/>
      <c r="G45" s="9"/>
      <c r="H45" s="9"/>
      <c r="I45" s="12"/>
    </row>
    <row r="46" spans="1:17" x14ac:dyDescent="0.35">
      <c r="A46" s="14" t="s">
        <v>108</v>
      </c>
      <c r="B46" s="25"/>
      <c r="C46" s="25"/>
      <c r="D46" s="9"/>
      <c r="E46" s="9"/>
      <c r="F46" s="9"/>
      <c r="G46" s="9"/>
      <c r="H46" s="9"/>
      <c r="I46" s="12"/>
    </row>
    <row r="47" spans="1:17" x14ac:dyDescent="0.35">
      <c r="A47" s="28" t="s">
        <v>87</v>
      </c>
      <c r="B47" s="17" t="s">
        <v>88</v>
      </c>
      <c r="C47" s="18" t="s">
        <v>66</v>
      </c>
      <c r="D47" s="9"/>
      <c r="E47" s="9"/>
      <c r="F47" s="9"/>
      <c r="G47" s="9"/>
      <c r="H47" s="9"/>
      <c r="I47" s="12"/>
    </row>
    <row r="48" spans="1:17" x14ac:dyDescent="0.35">
      <c r="A48" s="20">
        <f>IF(OR(E3="SB",E3="SBSL"),IF(A3&gt;0,A3,IF(B3&gt;0,B3,IF(C3&gt;0,C3,IF(D3&gt;0,D3,0)))),0)</f>
        <v>0</v>
      </c>
      <c r="B48" s="21">
        <f>(TRUNC(A48,0))</f>
        <v>0</v>
      </c>
      <c r="C48" s="22">
        <f>TRUNC((B48*0.1189),2)</f>
        <v>0</v>
      </c>
      <c r="D48" s="9"/>
      <c r="E48" s="9"/>
      <c r="F48" s="9"/>
      <c r="G48" s="9"/>
      <c r="H48" s="9"/>
      <c r="I48" s="12"/>
    </row>
    <row r="49" spans="1:12" x14ac:dyDescent="0.35">
      <c r="A49" s="8"/>
      <c r="B49" s="9"/>
      <c r="C49" s="9"/>
      <c r="D49" s="9"/>
      <c r="E49" s="9"/>
      <c r="F49" s="9"/>
      <c r="G49" s="9"/>
      <c r="H49" s="9"/>
      <c r="I49" s="12"/>
    </row>
    <row r="50" spans="1:12" x14ac:dyDescent="0.35">
      <c r="A50" s="14" t="s">
        <v>109</v>
      </c>
      <c r="B50" s="25"/>
      <c r="C50" s="25"/>
      <c r="D50" s="9"/>
      <c r="E50" s="9"/>
      <c r="F50" s="9"/>
      <c r="G50" s="9"/>
      <c r="H50" s="9"/>
      <c r="I50" s="12"/>
    </row>
    <row r="51" spans="1:12" x14ac:dyDescent="0.35">
      <c r="A51" s="16" t="s">
        <v>87</v>
      </c>
      <c r="B51" s="17" t="s">
        <v>88</v>
      </c>
      <c r="C51" s="18" t="s">
        <v>53</v>
      </c>
      <c r="D51" s="9"/>
      <c r="E51" s="9"/>
      <c r="F51" s="9"/>
      <c r="G51" s="9"/>
      <c r="H51" s="9"/>
      <c r="I51" s="12"/>
    </row>
    <row r="52" spans="1:12" x14ac:dyDescent="0.35">
      <c r="A52" s="20">
        <f>IF(E3="SBSL",IF(A3&gt;0,A3,IF(B3&gt;0,B3,IF(C3&gt;0,C3,IF(D3&gt;0,D3,0)))),0)</f>
        <v>0</v>
      </c>
      <c r="B52" s="21">
        <f>TRUNC(A52,0)</f>
        <v>0</v>
      </c>
      <c r="C52" s="22">
        <f>TRUNC(B52*0.12,2)</f>
        <v>0</v>
      </c>
      <c r="D52" s="9"/>
      <c r="E52" s="9"/>
      <c r="F52" s="9"/>
      <c r="G52" s="9"/>
      <c r="H52" s="9"/>
      <c r="I52" s="12"/>
    </row>
    <row r="53" spans="1:12" x14ac:dyDescent="0.35">
      <c r="A53" s="8"/>
      <c r="B53" s="9"/>
      <c r="C53" s="9"/>
      <c r="D53" s="9"/>
      <c r="E53" s="9"/>
      <c r="F53" s="9"/>
      <c r="G53" s="9"/>
      <c r="H53" s="9"/>
      <c r="I53" s="12"/>
    </row>
    <row r="54" spans="1:12" x14ac:dyDescent="0.35">
      <c r="A54" s="14" t="s">
        <v>110</v>
      </c>
      <c r="B54" s="25"/>
      <c r="C54" s="25"/>
      <c r="D54" s="9"/>
      <c r="E54" s="9"/>
      <c r="F54" s="9"/>
      <c r="G54" s="9"/>
      <c r="H54" s="9"/>
      <c r="I54" s="12"/>
    </row>
    <row r="55" spans="1:12" x14ac:dyDescent="0.35">
      <c r="A55" s="16" t="s">
        <v>87</v>
      </c>
      <c r="B55" s="17" t="s">
        <v>88</v>
      </c>
      <c r="C55" s="18" t="s">
        <v>66</v>
      </c>
      <c r="D55" s="9"/>
      <c r="E55" s="9"/>
      <c r="F55" s="9"/>
      <c r="G55" s="9"/>
      <c r="H55" s="9"/>
      <c r="I55" s="12"/>
    </row>
    <row r="56" spans="1:12" x14ac:dyDescent="0.35">
      <c r="A56" s="20">
        <f>IF(E3="EDW",IF(A3&gt;0,A3,IF(B3&gt;0,B3,IF(C3&gt;0,C3,IF(D3&gt;0,D3,0)))),0)</f>
        <v>0</v>
      </c>
      <c r="B56" s="21">
        <f>(TRUNC(A56,0))</f>
        <v>0</v>
      </c>
      <c r="C56" s="22">
        <f>TRUNC(B56*0.1889,2)</f>
        <v>0</v>
      </c>
      <c r="D56" s="9"/>
      <c r="E56" s="9"/>
      <c r="F56" s="9"/>
      <c r="G56" s="9"/>
      <c r="H56" s="9"/>
      <c r="I56" s="12"/>
    </row>
    <row r="57" spans="1:12" x14ac:dyDescent="0.35">
      <c r="A57" s="8"/>
      <c r="B57" s="9"/>
      <c r="C57" s="9"/>
      <c r="D57" s="9"/>
      <c r="E57" s="9"/>
      <c r="F57" s="9"/>
      <c r="G57" s="9"/>
      <c r="H57" s="9"/>
      <c r="I57" s="12"/>
    </row>
    <row r="58" spans="1:12" x14ac:dyDescent="0.35">
      <c r="A58" s="14" t="s">
        <v>111</v>
      </c>
      <c r="B58" s="25"/>
      <c r="C58" s="25"/>
      <c r="D58" s="9"/>
      <c r="E58" s="9"/>
      <c r="F58" s="9"/>
      <c r="G58" s="9"/>
      <c r="H58" s="9"/>
      <c r="I58" s="12"/>
    </row>
    <row r="59" spans="1:12" x14ac:dyDescent="0.35">
      <c r="A59" s="16" t="s">
        <v>87</v>
      </c>
      <c r="B59" s="17" t="s">
        <v>88</v>
      </c>
      <c r="C59" s="18" t="s">
        <v>66</v>
      </c>
      <c r="D59" s="9"/>
      <c r="E59" s="9"/>
      <c r="F59" s="9"/>
      <c r="G59" s="9"/>
      <c r="H59" s="9"/>
      <c r="I59" s="12"/>
    </row>
    <row r="60" spans="1:12" x14ac:dyDescent="0.35">
      <c r="A60" s="20">
        <f>IF(E3="CAE",IF(A3&gt;0,A3,IF(B3&gt;0,B3,IF(C3&gt;0,C3,IF(D3&gt;0,D3,0)))),0)</f>
        <v>0</v>
      </c>
      <c r="B60" s="21">
        <f>(TRUNC(A60,0))</f>
        <v>0</v>
      </c>
      <c r="C60" s="22">
        <f>TRUNC(B60*0.1889,2)</f>
        <v>0</v>
      </c>
      <c r="D60" s="9"/>
      <c r="E60" s="9"/>
      <c r="F60" s="9"/>
      <c r="G60" s="9"/>
      <c r="H60" s="9"/>
      <c r="I60" s="12"/>
    </row>
    <row r="61" spans="1:12" x14ac:dyDescent="0.35">
      <c r="A61" s="8"/>
      <c r="B61" s="9"/>
      <c r="C61" s="9"/>
      <c r="D61" s="9"/>
      <c r="E61" s="9"/>
      <c r="F61" s="9"/>
      <c r="G61" s="9"/>
      <c r="H61" s="9"/>
      <c r="I61" s="12"/>
    </row>
    <row r="62" spans="1:12" x14ac:dyDescent="0.35">
      <c r="A62" s="14" t="s">
        <v>112</v>
      </c>
      <c r="B62" s="25"/>
      <c r="C62" s="25"/>
      <c r="D62" s="9"/>
      <c r="E62" s="9"/>
      <c r="F62" s="9"/>
      <c r="G62" s="9"/>
      <c r="H62" s="9"/>
      <c r="I62" s="12"/>
    </row>
    <row r="63" spans="1:12" x14ac:dyDescent="0.35">
      <c r="A63" s="16" t="s">
        <v>87</v>
      </c>
      <c r="B63" s="17" t="s">
        <v>88</v>
      </c>
      <c r="C63" s="18" t="s">
        <v>66</v>
      </c>
      <c r="D63" s="9"/>
      <c r="E63" s="9"/>
      <c r="F63" s="9"/>
      <c r="G63" s="9"/>
      <c r="H63" s="9"/>
      <c r="I63" s="12"/>
      <c r="L63" s="45"/>
    </row>
    <row r="64" spans="1:12" x14ac:dyDescent="0.35">
      <c r="A64" s="20">
        <f>IF(E3="ND",IF(A3&gt;0,A3,IF(B3&gt;0,B3,IF(C3&gt;0,C3,IF(D3&gt;0,D3,0)))),0)</f>
        <v>0</v>
      </c>
      <c r="B64" s="21">
        <f>(TRUNC(A64,0))</f>
        <v>0</v>
      </c>
      <c r="C64" s="22">
        <f>TRUNC(B64*0.4639,2)</f>
        <v>0</v>
      </c>
      <c r="D64" s="9"/>
      <c r="E64" s="9"/>
      <c r="F64" s="9"/>
      <c r="G64" s="9"/>
      <c r="H64" s="9"/>
      <c r="I64" s="12"/>
      <c r="L64" s="45"/>
    </row>
    <row r="65" spans="1:10" x14ac:dyDescent="0.35">
      <c r="A65" s="8"/>
      <c r="B65" s="9"/>
      <c r="C65" s="9"/>
      <c r="D65" s="9"/>
      <c r="E65" s="9"/>
      <c r="F65" s="9"/>
      <c r="G65" s="9"/>
      <c r="H65" s="9"/>
      <c r="I65" s="12"/>
    </row>
    <row r="66" spans="1:10" x14ac:dyDescent="0.35">
      <c r="A66" s="14" t="s">
        <v>113</v>
      </c>
      <c r="B66" s="15"/>
      <c r="C66" s="15"/>
      <c r="D66" s="9"/>
      <c r="E66" s="9"/>
      <c r="F66" s="9"/>
      <c r="G66" s="9"/>
      <c r="H66" s="9"/>
      <c r="I66" s="12"/>
    </row>
    <row r="67" spans="1:10" x14ac:dyDescent="0.35">
      <c r="A67" s="16" t="s">
        <v>9</v>
      </c>
      <c r="B67" s="17" t="s">
        <v>88</v>
      </c>
      <c r="C67" s="17" t="s">
        <v>114</v>
      </c>
      <c r="D67" s="17" t="s">
        <v>78</v>
      </c>
      <c r="E67" s="17" t="s">
        <v>79</v>
      </c>
      <c r="F67" s="17" t="s">
        <v>115</v>
      </c>
      <c r="G67" s="17" t="s">
        <v>80</v>
      </c>
      <c r="H67" s="17" t="s">
        <v>81</v>
      </c>
      <c r="I67" s="29" t="s">
        <v>66</v>
      </c>
    </row>
    <row r="68" spans="1:10" x14ac:dyDescent="0.35">
      <c r="A68" s="20">
        <f>IF(OR($E$3="ME",$E$3="MESL"),IF($A$3&gt;0,$A$3,IF($B$3&gt;0,$B$3,IF($C$3&gt;0,$C$3,IF($D$3&gt;0,$D$3,0)))),0)</f>
        <v>0</v>
      </c>
      <c r="B68" s="21">
        <f>IF($A$3&gt;0,A68*12,IF($B$3&gt;0,A68*26,IF($C$3&gt;0,A68*13,IF($D$3&gt;0,A68*52,0))))</f>
        <v>0</v>
      </c>
      <c r="C68" s="21">
        <f>TRUNC(B68,0)</f>
        <v>0</v>
      </c>
      <c r="D68" s="21">
        <f>IF(C68&lt;=14000,(C68*0.105),IF(C68&lt;=48000,(C68*0.175)-980,IF(C68&lt;=70000,(C68*0.3)-6980,IF(C68&gt;70000,(C68*0.33)-9080,0))))</f>
        <v>0</v>
      </c>
      <c r="E68" s="21">
        <f>IF(C68&lt;=N4,C68*N3,IF(C68&gt;=N4,N5,0))</f>
        <v>0</v>
      </c>
      <c r="F68" s="21">
        <v>0</v>
      </c>
      <c r="G68" s="21">
        <f>(D68+E68)-F68</f>
        <v>0</v>
      </c>
      <c r="H68" s="21">
        <f>TRUNC(G68/52,2)</f>
        <v>0</v>
      </c>
      <c r="I68" s="30">
        <f>TRUNC(IF(A3&gt;0,(H68*52)/12,IF(B3&gt;0,(H68*52)/26,IF(C3&gt;0,(H68*52)/13,IF(D3&gt;0,H68,0)))),2)</f>
        <v>0</v>
      </c>
    </row>
    <row r="69" spans="1:10" x14ac:dyDescent="0.35">
      <c r="A69" s="8"/>
      <c r="B69" s="9"/>
      <c r="C69" s="9"/>
      <c r="D69" s="9"/>
      <c r="E69" s="9"/>
      <c r="F69" s="9"/>
      <c r="G69" s="10"/>
      <c r="H69" s="9"/>
      <c r="I69" s="12"/>
      <c r="J69" s="44"/>
    </row>
    <row r="70" spans="1:10" x14ac:dyDescent="0.35">
      <c r="A70" s="14" t="s">
        <v>116</v>
      </c>
      <c r="B70" s="15"/>
      <c r="C70" s="15"/>
      <c r="D70" s="9"/>
      <c r="E70" s="9"/>
      <c r="F70" s="9"/>
      <c r="G70" s="9"/>
      <c r="H70" s="9"/>
      <c r="I70" s="12"/>
    </row>
    <row r="71" spans="1:10" x14ac:dyDescent="0.35">
      <c r="A71" s="16" t="s">
        <v>87</v>
      </c>
      <c r="B71" s="17" t="s">
        <v>88</v>
      </c>
      <c r="C71" s="17" t="s">
        <v>89</v>
      </c>
      <c r="D71" s="18" t="s">
        <v>53</v>
      </c>
      <c r="E71" s="9"/>
      <c r="F71" s="9"/>
      <c r="G71" s="9"/>
      <c r="H71" s="9"/>
      <c r="I71" s="12"/>
    </row>
    <row r="72" spans="1:10" x14ac:dyDescent="0.35">
      <c r="A72" s="20">
        <f>IF(E3="MESL",IF(A3&gt;0,A3,IF(B3&gt;0,B3,IF(C3&gt;0,C3,IF(D3&gt;0,D3,0)))),0)</f>
        <v>0</v>
      </c>
      <c r="B72" s="21">
        <f>TRUNC(A72,0)</f>
        <v>0</v>
      </c>
      <c r="C72" s="21">
        <f>IF(E3="MESL",(N7/F3),0)</f>
        <v>0</v>
      </c>
      <c r="D72" s="22">
        <f>TRUNC(IF(B72&lt;C72,0,IF(B72&gt;C72,(B72-C72)*0.12,0)),2)</f>
        <v>0</v>
      </c>
      <c r="E72" s="9"/>
      <c r="F72" s="9"/>
      <c r="G72" s="9"/>
      <c r="H72" s="9"/>
      <c r="I72" s="12"/>
    </row>
    <row r="73" spans="1:10" x14ac:dyDescent="0.35">
      <c r="A73" s="8"/>
      <c r="B73" s="9"/>
      <c r="C73" s="9"/>
      <c r="D73" s="9"/>
      <c r="E73" s="9"/>
      <c r="F73" s="9"/>
      <c r="G73" s="9"/>
      <c r="H73" s="9"/>
      <c r="I73" s="12"/>
    </row>
    <row r="74" spans="1:10" x14ac:dyDescent="0.35">
      <c r="A74" s="14" t="s">
        <v>117</v>
      </c>
      <c r="B74" s="25"/>
      <c r="C74" s="25"/>
      <c r="D74" s="9"/>
      <c r="E74" s="9"/>
      <c r="F74" s="9"/>
      <c r="G74" s="9"/>
      <c r="H74" s="9"/>
      <c r="I74" s="12"/>
    </row>
    <row r="75" spans="1:10" x14ac:dyDescent="0.35">
      <c r="A75" s="16" t="s">
        <v>87</v>
      </c>
      <c r="B75" s="17" t="s">
        <v>88</v>
      </c>
      <c r="C75" s="18" t="s">
        <v>66</v>
      </c>
      <c r="D75" s="9"/>
      <c r="E75" s="9"/>
      <c r="F75" s="9"/>
      <c r="G75" s="9"/>
      <c r="H75" s="9"/>
      <c r="I75" s="12"/>
    </row>
    <row r="76" spans="1:10" ht="15" thickBot="1" x14ac:dyDescent="0.4">
      <c r="A76" s="31">
        <f>IF(E3="NSW",IF(A3&gt;0,A3,IF(B3&gt;0,B3,IF(C3&gt;0,C3,IF(D3&gt;0,D3,0)))),0)</f>
        <v>0</v>
      </c>
      <c r="B76" s="32">
        <f>(TRUNC(A76,0))</f>
        <v>0</v>
      </c>
      <c r="C76" s="33">
        <f>TRUNC(B76*0.1189,2)</f>
        <v>0</v>
      </c>
      <c r="D76" s="34"/>
      <c r="E76" s="35"/>
      <c r="F76" s="35"/>
      <c r="G76" s="34"/>
      <c r="H76" s="34"/>
      <c r="I76" s="36"/>
    </row>
  </sheetData>
  <mergeCells count="1">
    <mergeCell ref="A1:I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CEBB-2C37-4E0F-A06F-9FE466972D25}">
  <sheetPr codeName="Sheet7"/>
  <dimension ref="A1:Q76"/>
  <sheetViews>
    <sheetView zoomScaleNormal="100" workbookViewId="0">
      <selection activeCell="L1" sqref="L1:Q7"/>
    </sheetView>
  </sheetViews>
  <sheetFormatPr defaultRowHeight="14.5" x14ac:dyDescent="0.35"/>
  <cols>
    <col min="1" max="1" width="13.7265625" customWidth="1"/>
    <col min="2" max="2" width="13.81640625" bestFit="1" customWidth="1"/>
    <col min="3" max="3" width="17.54296875" bestFit="1" customWidth="1"/>
    <col min="4" max="4" width="13.81640625" bestFit="1" customWidth="1"/>
    <col min="5" max="5" width="13.453125" customWidth="1"/>
    <col min="6" max="6" width="18.26953125" bestFit="1" customWidth="1"/>
    <col min="7" max="7" width="18.54296875" customWidth="1"/>
    <col min="8" max="8" width="18.54296875" bestFit="1" customWidth="1"/>
    <col min="9" max="9" width="14.81640625" customWidth="1"/>
    <col min="11" max="11" width="17.26953125" customWidth="1"/>
    <col min="12" max="12" width="23.81640625" customWidth="1"/>
    <col min="13" max="14" width="12.26953125" bestFit="1" customWidth="1"/>
    <col min="15" max="15" width="12.453125" bestFit="1" customWidth="1"/>
    <col min="16" max="16" width="13.453125" customWidth="1"/>
    <col min="17" max="17" width="14" customWidth="1"/>
  </cols>
  <sheetData>
    <row r="1" spans="1:17" ht="20.5" thickBot="1" x14ac:dyDescent="0.45">
      <c r="A1" s="146" t="s">
        <v>61</v>
      </c>
      <c r="B1" s="147"/>
      <c r="C1" s="147"/>
      <c r="D1" s="147"/>
      <c r="E1" s="147"/>
      <c r="F1" s="147"/>
      <c r="G1" s="147"/>
      <c r="H1" s="147"/>
      <c r="I1" s="148"/>
      <c r="L1" s="37" t="s">
        <v>135</v>
      </c>
      <c r="M1" s="38"/>
      <c r="N1" s="38"/>
    </row>
    <row r="2" spans="1:17" ht="15" thickBot="1" x14ac:dyDescent="0.4">
      <c r="A2" s="1" t="s">
        <v>62</v>
      </c>
      <c r="B2" s="1" t="s">
        <v>63</v>
      </c>
      <c r="C2" s="1" t="s">
        <v>64</v>
      </c>
      <c r="D2" s="1" t="s">
        <v>9</v>
      </c>
      <c r="E2" s="1" t="s">
        <v>12</v>
      </c>
      <c r="F2" s="1" t="s">
        <v>65</v>
      </c>
      <c r="G2" s="2" t="s">
        <v>66</v>
      </c>
      <c r="H2" s="3" t="s">
        <v>53</v>
      </c>
      <c r="I2" s="3" t="s">
        <v>55</v>
      </c>
      <c r="L2" s="37"/>
      <c r="M2" s="39" t="s">
        <v>67</v>
      </c>
      <c r="N2" s="40" t="s">
        <v>68</v>
      </c>
      <c r="O2" s="40" t="s">
        <v>69</v>
      </c>
      <c r="P2" s="40" t="s">
        <v>70</v>
      </c>
      <c r="Q2" s="40" t="s">
        <v>62</v>
      </c>
    </row>
    <row r="3" spans="1:17" ht="15" thickBot="1" x14ac:dyDescent="0.4">
      <c r="A3" s="4"/>
      <c r="B3" s="4">
        <f>Payslip!D37</f>
        <v>878.37750000000005</v>
      </c>
      <c r="C3" s="4"/>
      <c r="D3" s="4"/>
      <c r="E3" s="5" t="str">
        <f>Payslip!G11</f>
        <v>M</v>
      </c>
      <c r="F3" s="6">
        <f>IF(A3&gt;0,12,IF(B3&gt;0,26,IF(C3&gt;0,13,IF(D3&gt;0,52,0))))</f>
        <v>26</v>
      </c>
      <c r="G3" s="7">
        <f>SUM(H8,C16,C24,C32,C48,C56,C60,C64,I68,C76,C40)</f>
        <v>128.84</v>
      </c>
      <c r="H3" s="7">
        <f>SUM(D12,C20,C28,C36,C52,D72,C44)</f>
        <v>0</v>
      </c>
      <c r="I3" s="7">
        <f>SUM(A3:D3)-SUM(G3:H3)</f>
        <v>749.53750000000002</v>
      </c>
      <c r="L3" s="37" t="s">
        <v>71</v>
      </c>
      <c r="M3" s="38">
        <v>1.3899999999999999E-2</v>
      </c>
      <c r="N3" s="38">
        <v>1.46E-2</v>
      </c>
      <c r="O3" s="38"/>
      <c r="P3" s="38"/>
      <c r="Q3" s="38"/>
    </row>
    <row r="4" spans="1:17" x14ac:dyDescent="0.35">
      <c r="A4" s="8"/>
      <c r="B4" s="9"/>
      <c r="C4" s="9"/>
      <c r="D4" s="10"/>
      <c r="E4" s="11"/>
      <c r="F4" s="11"/>
      <c r="G4" s="10"/>
      <c r="H4" s="9"/>
      <c r="I4" s="12"/>
      <c r="L4" s="37" t="s">
        <v>72</v>
      </c>
      <c r="M4" s="41">
        <v>130911</v>
      </c>
      <c r="N4" s="41">
        <v>136544</v>
      </c>
      <c r="O4" s="42">
        <v>2625.8461538461538</v>
      </c>
      <c r="P4" s="42">
        <v>5251.6923076923076</v>
      </c>
      <c r="Q4" s="42">
        <v>11378.666666666666</v>
      </c>
    </row>
    <row r="5" spans="1:17" x14ac:dyDescent="0.35">
      <c r="A5" s="8"/>
      <c r="B5" s="9"/>
      <c r="C5" s="9"/>
      <c r="D5" s="9"/>
      <c r="E5" s="13"/>
      <c r="F5" s="13"/>
      <c r="G5" s="9"/>
      <c r="H5" s="9"/>
      <c r="I5" s="12"/>
      <c r="L5" s="37" t="s">
        <v>73</v>
      </c>
      <c r="M5" s="41">
        <v>1819.6628999999998</v>
      </c>
      <c r="N5" s="41">
        <v>1993.5424</v>
      </c>
      <c r="O5" s="42">
        <v>38.337353846153846</v>
      </c>
      <c r="P5" s="42">
        <v>76.674707692307692</v>
      </c>
      <c r="Q5" s="42">
        <v>166.12853333333334</v>
      </c>
    </row>
    <row r="6" spans="1:17" x14ac:dyDescent="0.35">
      <c r="A6" s="14" t="s">
        <v>74</v>
      </c>
      <c r="B6" s="15"/>
      <c r="C6" s="15"/>
      <c r="D6" s="9"/>
      <c r="E6" s="9"/>
      <c r="F6" s="9"/>
      <c r="G6" s="9"/>
      <c r="H6" s="9"/>
      <c r="I6" s="12"/>
      <c r="L6" s="37"/>
      <c r="M6" s="38"/>
      <c r="N6" s="38"/>
    </row>
    <row r="7" spans="1:17" x14ac:dyDescent="0.35">
      <c r="A7" s="16" t="s">
        <v>75</v>
      </c>
      <c r="B7" s="17" t="s">
        <v>76</v>
      </c>
      <c r="C7" s="17" t="s">
        <v>77</v>
      </c>
      <c r="D7" s="17" t="s">
        <v>78</v>
      </c>
      <c r="E7" s="17" t="s">
        <v>79</v>
      </c>
      <c r="F7" s="17" t="s">
        <v>80</v>
      </c>
      <c r="G7" s="17" t="s">
        <v>81</v>
      </c>
      <c r="H7" s="18" t="s">
        <v>66</v>
      </c>
      <c r="I7" s="19"/>
      <c r="K7" s="43"/>
      <c r="L7" s="37" t="s">
        <v>82</v>
      </c>
      <c r="M7" s="38">
        <v>20280</v>
      </c>
      <c r="N7" s="38">
        <v>21268</v>
      </c>
      <c r="O7">
        <v>409</v>
      </c>
      <c r="P7">
        <v>818</v>
      </c>
      <c r="Q7">
        <v>1772.33</v>
      </c>
    </row>
    <row r="8" spans="1:17" x14ac:dyDescent="0.35">
      <c r="A8" s="20">
        <f>IF(OR($E$3="M",$E$3="MSL"),IF($A$3&gt;0,$A$3,IF($B$3&gt;0,$B$3,IF($C$3&gt;0,$C$3,IF($D$3&gt;0,$D$3,0)))),0)</f>
        <v>878.37750000000005</v>
      </c>
      <c r="B8" s="21">
        <f>IF($A$3&gt;0,A8*12,IF($B$3&gt;0,A8*26,IF($C$3&gt;0,A8*13,IF($D$3&gt;0,A8*52,0))))</f>
        <v>22837.815000000002</v>
      </c>
      <c r="C8" s="21">
        <f>TRUNC(B8,0)</f>
        <v>22837</v>
      </c>
      <c r="D8" s="21">
        <f>IF(C8&lt;=14000,(C8*0.105),IF(C8&lt;=48000,(C8*0.175)-980,IF(C8&lt;=70000,(C8*0.3)-6980,IF(C8&lt;=180000,(C8*0.33)-9080,IF(C8&gt;180000,(C8*0.39)-19880,0)))))</f>
        <v>3016.4749999999999</v>
      </c>
      <c r="E8" s="21">
        <f>IF(C8&lt;=N4,C8*N3,IF(C8&gt;=N4,N5,0))</f>
        <v>333.42020000000002</v>
      </c>
      <c r="F8" s="21">
        <f>D8+E8</f>
        <v>3349.8951999999999</v>
      </c>
      <c r="G8" s="21">
        <f>TRUNC(F8/52,2)</f>
        <v>64.42</v>
      </c>
      <c r="H8" s="22">
        <f>TRUNC(IF(A3&gt;0,(G8*52)/12,IF(B3&gt;0,(G8*52)/26,IF(C3&gt;0,(G8*52)/13,IF(D3&gt;0,G8,0)))),2)</f>
        <v>128.84</v>
      </c>
      <c r="I8" s="12"/>
      <c r="K8" s="44"/>
      <c r="L8" s="37"/>
      <c r="M8" s="38"/>
      <c r="N8" s="38"/>
    </row>
    <row r="9" spans="1:17" ht="15" thickBot="1" x14ac:dyDescent="0.4">
      <c r="A9" s="8"/>
      <c r="B9" s="9"/>
      <c r="C9" s="9"/>
      <c r="D9" s="9"/>
      <c r="E9" s="9"/>
      <c r="F9" s="9"/>
      <c r="G9" s="10"/>
      <c r="H9" s="23"/>
      <c r="I9" s="12"/>
    </row>
    <row r="10" spans="1:17" ht="43.5" x14ac:dyDescent="0.35">
      <c r="A10" s="14" t="s">
        <v>83</v>
      </c>
      <c r="B10" s="15"/>
      <c r="C10" s="15"/>
      <c r="D10" s="9"/>
      <c r="E10" s="9"/>
      <c r="F10" s="9"/>
      <c r="G10" s="9"/>
      <c r="H10" s="9"/>
      <c r="I10" s="12"/>
      <c r="L10" s="92" t="s">
        <v>84</v>
      </c>
      <c r="M10" s="93" t="s">
        <v>85</v>
      </c>
      <c r="N10" s="94" t="s">
        <v>86</v>
      </c>
    </row>
    <row r="11" spans="1:17" x14ac:dyDescent="0.35">
      <c r="A11" s="16" t="s">
        <v>87</v>
      </c>
      <c r="B11" s="17" t="s">
        <v>88</v>
      </c>
      <c r="C11" s="17" t="s">
        <v>89</v>
      </c>
      <c r="D11" s="18" t="s">
        <v>53</v>
      </c>
      <c r="E11" s="9"/>
      <c r="F11" s="9"/>
      <c r="G11" s="9"/>
      <c r="H11" s="9"/>
      <c r="I11" s="12"/>
      <c r="L11" s="95" t="s">
        <v>90</v>
      </c>
      <c r="M11" s="96">
        <v>0</v>
      </c>
      <c r="N11" s="97">
        <v>0.105</v>
      </c>
      <c r="P11" s="86"/>
      <c r="Q11" s="44"/>
    </row>
    <row r="12" spans="1:17" x14ac:dyDescent="0.35">
      <c r="A12" s="20">
        <f>IF($E$3="MSL",(IF($A$3&gt;0,$A$3,IF($B$3&gt;0,$B$3,IF($C$3&gt;0,$C$3,IF($D$3&gt;0,$D$3,0))))),0)</f>
        <v>0</v>
      </c>
      <c r="B12" s="21">
        <f>TRUNC(A12,0)</f>
        <v>0</v>
      </c>
      <c r="C12" s="21">
        <v>818</v>
      </c>
      <c r="D12" s="22">
        <f>TRUNC(IF(B12&lt;C12,0,IF(B12&gt;C12,(B12-C12)*0.12,0)),2)</f>
        <v>0</v>
      </c>
      <c r="E12" s="24"/>
      <c r="F12" s="10"/>
      <c r="G12" s="23"/>
      <c r="H12" s="9"/>
      <c r="I12" s="12"/>
      <c r="L12" s="95" t="s">
        <v>91</v>
      </c>
      <c r="M12" s="96">
        <v>16801</v>
      </c>
      <c r="N12" s="97">
        <v>0.17499999999999999</v>
      </c>
      <c r="P12" s="86"/>
      <c r="Q12" s="44"/>
    </row>
    <row r="13" spans="1:17" x14ac:dyDescent="0.35">
      <c r="A13" s="8"/>
      <c r="B13" s="9"/>
      <c r="C13" s="9"/>
      <c r="D13" s="9"/>
      <c r="E13" s="9"/>
      <c r="F13" s="9"/>
      <c r="G13" s="9"/>
      <c r="H13" s="9"/>
      <c r="I13" s="12"/>
      <c r="L13" s="95" t="s">
        <v>92</v>
      </c>
      <c r="M13" s="96">
        <v>57601</v>
      </c>
      <c r="N13" s="97">
        <v>0.3</v>
      </c>
    </row>
    <row r="14" spans="1:17" x14ac:dyDescent="0.35">
      <c r="A14" s="14" t="s">
        <v>93</v>
      </c>
      <c r="B14" s="25"/>
      <c r="C14" s="25"/>
      <c r="D14" s="9"/>
      <c r="E14" s="9"/>
      <c r="F14" s="9"/>
      <c r="G14" s="9"/>
      <c r="H14" s="9"/>
      <c r="I14" s="12"/>
      <c r="L14" s="95" t="s">
        <v>94</v>
      </c>
      <c r="M14" s="96">
        <v>84001</v>
      </c>
      <c r="N14" s="97">
        <v>0.33</v>
      </c>
      <c r="O14" s="86"/>
      <c r="P14" s="86"/>
      <c r="Q14" s="44"/>
    </row>
    <row r="15" spans="1:17" ht="15" thickBot="1" x14ac:dyDescent="0.4">
      <c r="A15" s="16" t="s">
        <v>87</v>
      </c>
      <c r="B15" s="17" t="s">
        <v>88</v>
      </c>
      <c r="C15" s="18" t="s">
        <v>66</v>
      </c>
      <c r="D15" s="9"/>
      <c r="E15" s="9"/>
      <c r="F15" s="9"/>
      <c r="G15" s="9"/>
      <c r="H15" s="9"/>
      <c r="I15" s="12"/>
      <c r="L15" s="98" t="s">
        <v>95</v>
      </c>
      <c r="M15" s="99">
        <v>216001</v>
      </c>
      <c r="N15" s="100">
        <v>0.39</v>
      </c>
      <c r="O15" s="44"/>
      <c r="P15" s="44"/>
    </row>
    <row r="16" spans="1:17" x14ac:dyDescent="0.35">
      <c r="A16" s="20">
        <f>IF(OR($E$3="S",$E$3="SSL"),IF($A$3&gt;0,$A$3,IF($B$3&gt;0,$B$3,IF($C$3&gt;0,$C$3,IF($D$3&gt;0,$D$3,0)))),0)</f>
        <v>0</v>
      </c>
      <c r="B16" s="21">
        <f>(TRUNC(A16,0))</f>
        <v>0</v>
      </c>
      <c r="C16" s="22">
        <f>TRUNC(B16*0.1889,2)</f>
        <v>0</v>
      </c>
      <c r="D16" s="9"/>
      <c r="E16" s="9"/>
      <c r="F16" s="9"/>
      <c r="G16" s="9"/>
      <c r="H16" s="9"/>
      <c r="I16" s="12"/>
      <c r="O16" s="46"/>
      <c r="P16" s="44"/>
      <c r="Q16" s="46"/>
    </row>
    <row r="17" spans="1:17" x14ac:dyDescent="0.35">
      <c r="A17" s="8"/>
      <c r="B17" s="9"/>
      <c r="C17" s="9"/>
      <c r="D17" s="9"/>
      <c r="E17" s="9"/>
      <c r="F17" s="9"/>
      <c r="G17" s="26"/>
      <c r="H17" s="26"/>
      <c r="I17" s="12"/>
      <c r="K17" s="86"/>
      <c r="Q17" s="44"/>
    </row>
    <row r="18" spans="1:17" x14ac:dyDescent="0.35">
      <c r="A18" s="14" t="s">
        <v>96</v>
      </c>
      <c r="B18" s="25"/>
      <c r="C18" s="25"/>
      <c r="D18" s="9"/>
      <c r="E18" s="9"/>
      <c r="F18" s="9"/>
      <c r="G18" s="27"/>
      <c r="H18" s="27"/>
      <c r="I18" s="12"/>
      <c r="K18" s="44"/>
      <c r="L18" s="91" t="s">
        <v>97</v>
      </c>
      <c r="N18" s="101">
        <f>C8</f>
        <v>22837</v>
      </c>
      <c r="P18" s="44"/>
    </row>
    <row r="19" spans="1:17" ht="29" x14ac:dyDescent="0.35">
      <c r="A19" s="16" t="s">
        <v>87</v>
      </c>
      <c r="B19" s="17" t="s">
        <v>88</v>
      </c>
      <c r="C19" s="18" t="s">
        <v>53</v>
      </c>
      <c r="D19" s="9"/>
      <c r="E19" s="9"/>
      <c r="F19" s="9"/>
      <c r="G19" s="9"/>
      <c r="H19" s="9"/>
      <c r="I19" s="12"/>
      <c r="K19" s="46"/>
      <c r="L19" s="102" t="s">
        <v>98</v>
      </c>
      <c r="M19" s="103">
        <f>Payslip!D31</f>
        <v>0.03</v>
      </c>
      <c r="N19" s="101">
        <f>N18*M19</f>
        <v>685.11</v>
      </c>
    </row>
    <row r="20" spans="1:17" ht="15" thickBot="1" x14ac:dyDescent="0.4">
      <c r="A20" s="20">
        <f>IF(E3="SSL",IF(A3&gt;0,A3,IF(B3&gt;0,B3,IF(C3&gt;0,C3,IF(D3&gt;0,D3,0)))),0)</f>
        <v>0</v>
      </c>
      <c r="B20" s="21">
        <f>TRUNC(A20,0)</f>
        <v>0</v>
      </c>
      <c r="C20" s="22">
        <f>TRUNC(B20*0.12,2)</f>
        <v>0</v>
      </c>
      <c r="D20" s="9"/>
      <c r="E20" s="9"/>
      <c r="F20" s="9"/>
      <c r="G20" s="9"/>
      <c r="H20" s="9"/>
      <c r="I20" s="12"/>
      <c r="L20" s="91" t="s">
        <v>99</v>
      </c>
      <c r="N20" s="104">
        <f>SUM(N18:N19)</f>
        <v>23522.11</v>
      </c>
      <c r="O20" s="47"/>
    </row>
    <row r="21" spans="1:17" ht="15" thickBot="1" x14ac:dyDescent="0.4">
      <c r="A21" s="8"/>
      <c r="B21" s="9"/>
      <c r="C21" s="9"/>
      <c r="D21" s="9"/>
      <c r="E21" s="9"/>
      <c r="F21" s="9"/>
      <c r="G21" s="9"/>
      <c r="H21" s="9"/>
      <c r="I21" s="12"/>
      <c r="L21" s="91"/>
      <c r="O21" s="47"/>
      <c r="P21" s="44"/>
      <c r="Q21" s="44"/>
    </row>
    <row r="22" spans="1:17" ht="15" thickBot="1" x14ac:dyDescent="0.4">
      <c r="A22" s="14" t="s">
        <v>100</v>
      </c>
      <c r="B22" s="25"/>
      <c r="C22" s="25"/>
      <c r="D22" s="9"/>
      <c r="E22" s="9"/>
      <c r="F22" s="9"/>
      <c r="G22" s="9"/>
      <c r="H22" s="9"/>
      <c r="I22" s="12"/>
      <c r="L22" s="91" t="s">
        <v>101</v>
      </c>
      <c r="N22" s="105">
        <f>VLOOKUP(N20,M11:N15,2,TRUE)</f>
        <v>0.17499999999999999</v>
      </c>
      <c r="O22" s="47"/>
      <c r="P22" s="44"/>
      <c r="Q22" s="44"/>
    </row>
    <row r="23" spans="1:17" x14ac:dyDescent="0.35">
      <c r="A23" s="16" t="s">
        <v>87</v>
      </c>
      <c r="B23" s="17" t="s">
        <v>88</v>
      </c>
      <c r="C23" s="18" t="s">
        <v>66</v>
      </c>
      <c r="D23" s="9"/>
      <c r="E23" s="9"/>
      <c r="F23" s="9"/>
      <c r="G23" s="9"/>
      <c r="H23" s="9"/>
      <c r="I23" s="12"/>
      <c r="K23" s="47"/>
      <c r="L23" s="48" t="s">
        <v>102</v>
      </c>
      <c r="M23" s="44"/>
      <c r="N23" s="90">
        <f>Payslip!H31*N22</f>
        <v>4.6112500000000001</v>
      </c>
      <c r="O23" s="47"/>
      <c r="P23" s="48"/>
      <c r="Q23" s="44"/>
    </row>
    <row r="24" spans="1:17" x14ac:dyDescent="0.35">
      <c r="A24" s="20">
        <f>IF(OR(E3="SH",E3="SHSL"),IF(A3&gt;0,A3,IF(B3&gt;0,B3,IF(C3&gt;0,C3,IF(D3&gt;0,D3,0)))),0)</f>
        <v>0</v>
      </c>
      <c r="B24" s="21">
        <f>(TRUNC(A24,0))</f>
        <v>0</v>
      </c>
      <c r="C24" s="22">
        <f>TRUNC(B24*0.3139,2)</f>
        <v>0</v>
      </c>
      <c r="D24" s="9"/>
      <c r="E24" s="9"/>
      <c r="F24" s="9"/>
      <c r="G24" s="9"/>
      <c r="H24" s="9"/>
      <c r="I24" s="12"/>
      <c r="K24" s="47"/>
      <c r="L24" s="44"/>
      <c r="M24" s="44"/>
      <c r="O24" s="47"/>
      <c r="P24" s="44"/>
      <c r="Q24" s="44"/>
    </row>
    <row r="25" spans="1:17" x14ac:dyDescent="0.35">
      <c r="A25" s="8"/>
      <c r="B25" s="9"/>
      <c r="C25" s="9"/>
      <c r="D25" s="9"/>
      <c r="E25" s="9"/>
      <c r="F25" s="9"/>
      <c r="G25" s="9"/>
      <c r="H25" s="9"/>
      <c r="I25" s="12"/>
      <c r="K25" s="47"/>
      <c r="L25" s="44"/>
      <c r="M25" s="44"/>
      <c r="O25" s="47"/>
      <c r="P25" s="44"/>
      <c r="Q25" s="44"/>
    </row>
    <row r="26" spans="1:17" x14ac:dyDescent="0.35">
      <c r="A26" s="14" t="s">
        <v>103</v>
      </c>
      <c r="B26" s="25"/>
      <c r="C26" s="25"/>
      <c r="D26" s="9"/>
      <c r="E26" s="9"/>
      <c r="F26" s="9"/>
      <c r="G26" s="9"/>
      <c r="H26" s="9"/>
      <c r="I26" s="12"/>
      <c r="K26" s="47"/>
      <c r="L26" s="46"/>
      <c r="M26" s="44"/>
      <c r="O26" s="87"/>
      <c r="P26" s="46"/>
      <c r="Q26" s="44"/>
    </row>
    <row r="27" spans="1:17" x14ac:dyDescent="0.35">
      <c r="A27" s="16" t="s">
        <v>87</v>
      </c>
      <c r="B27" s="17" t="s">
        <v>88</v>
      </c>
      <c r="C27" s="18" t="s">
        <v>53</v>
      </c>
      <c r="D27" s="9"/>
      <c r="E27" s="9"/>
      <c r="F27" s="9"/>
      <c r="G27" s="9"/>
      <c r="H27" s="9"/>
      <c r="I27" s="12"/>
      <c r="K27" s="47"/>
      <c r="L27" s="44"/>
      <c r="M27" s="44"/>
      <c r="O27" s="87"/>
      <c r="P27" s="44"/>
      <c r="Q27" s="44"/>
    </row>
    <row r="28" spans="1:17" x14ac:dyDescent="0.35">
      <c r="A28" s="20">
        <f>IF(E3="SHSL",IF(A3&gt;0,A3,IF(B3&gt;0,B3,IF(C3&gt;0,C3,IF(D3&gt;0,D3,0)))),0)</f>
        <v>0</v>
      </c>
      <c r="B28" s="21">
        <f>TRUNC(A28,0)</f>
        <v>0</v>
      </c>
      <c r="C28" s="22">
        <f>TRUNC(B28*0.12,2)</f>
        <v>0</v>
      </c>
      <c r="D28" s="9"/>
      <c r="E28" s="9"/>
      <c r="F28" s="9"/>
      <c r="G28" s="9"/>
      <c r="H28" s="9"/>
      <c r="I28" s="12"/>
      <c r="K28" s="47"/>
      <c r="L28" s="46"/>
      <c r="M28" s="44"/>
      <c r="O28" s="87"/>
      <c r="P28" s="46"/>
      <c r="Q28" s="44"/>
    </row>
    <row r="29" spans="1:17" x14ac:dyDescent="0.35">
      <c r="A29" s="8"/>
      <c r="B29" s="9"/>
      <c r="C29" s="9"/>
      <c r="D29" s="9"/>
      <c r="E29" s="9"/>
      <c r="F29" s="9"/>
      <c r="G29" s="9"/>
      <c r="H29" s="9"/>
      <c r="I29" s="12"/>
      <c r="K29" s="87"/>
      <c r="L29" s="44"/>
      <c r="M29" s="44"/>
      <c r="P29" s="44"/>
      <c r="Q29" s="44"/>
    </row>
    <row r="30" spans="1:17" x14ac:dyDescent="0.35">
      <c r="A30" s="14" t="s">
        <v>104</v>
      </c>
      <c r="B30" s="25"/>
      <c r="C30" s="25"/>
      <c r="D30" s="9"/>
      <c r="E30" s="9"/>
      <c r="F30" s="9"/>
      <c r="G30" s="9"/>
      <c r="H30" s="9"/>
      <c r="I30" s="12"/>
      <c r="K30" s="87"/>
      <c r="L30" s="44"/>
      <c r="M30" s="44"/>
      <c r="P30" s="44"/>
      <c r="Q30" s="44"/>
    </row>
    <row r="31" spans="1:17" x14ac:dyDescent="0.35">
      <c r="A31" s="16" t="s">
        <v>87</v>
      </c>
      <c r="B31" s="17" t="s">
        <v>88</v>
      </c>
      <c r="C31" s="18" t="s">
        <v>66</v>
      </c>
      <c r="D31" s="9"/>
      <c r="E31" s="9"/>
      <c r="F31" s="9"/>
      <c r="G31" s="9"/>
      <c r="H31" s="9"/>
      <c r="I31" s="12"/>
      <c r="K31" s="87"/>
      <c r="L31" s="88"/>
      <c r="M31" s="44"/>
      <c r="P31" s="88"/>
      <c r="Q31" s="44"/>
    </row>
    <row r="32" spans="1:17" x14ac:dyDescent="0.35">
      <c r="A32" s="20">
        <f>IF(OR(E3="ST",E3="STSL"),IF(A3&gt;0,A3,IF(B3&gt;0,B3,IF(C3&gt;0,C3,IF(D3&gt;0,D3,0)))),0)</f>
        <v>0</v>
      </c>
      <c r="B32" s="21">
        <f>(TRUNC(A32,0))</f>
        <v>0</v>
      </c>
      <c r="C32" s="22">
        <f>TRUNC(B32*0.3439,2)</f>
        <v>0</v>
      </c>
      <c r="D32" s="9"/>
      <c r="E32" s="9"/>
      <c r="F32" s="9"/>
      <c r="G32" s="9"/>
      <c r="H32" s="9"/>
      <c r="I32" s="12"/>
      <c r="M32" s="44"/>
      <c r="Q32" s="44"/>
    </row>
    <row r="33" spans="1:17" x14ac:dyDescent="0.35">
      <c r="A33" s="8"/>
      <c r="B33" s="9"/>
      <c r="C33" s="9"/>
      <c r="D33" s="9"/>
      <c r="E33" s="9"/>
      <c r="F33" s="9"/>
      <c r="G33" s="9"/>
      <c r="H33" s="9"/>
      <c r="I33" s="12"/>
      <c r="M33" s="44"/>
      <c r="Q33" s="44"/>
    </row>
    <row r="34" spans="1:17" x14ac:dyDescent="0.35">
      <c r="A34" s="14" t="s">
        <v>105</v>
      </c>
      <c r="B34" s="25"/>
      <c r="C34" s="25"/>
      <c r="D34" s="9"/>
      <c r="E34" s="9"/>
      <c r="F34" s="9"/>
      <c r="G34" s="9"/>
      <c r="H34" s="9"/>
      <c r="I34" s="12"/>
      <c r="M34" s="44"/>
      <c r="Q34" s="44"/>
    </row>
    <row r="35" spans="1:17" x14ac:dyDescent="0.35">
      <c r="A35" s="16" t="s">
        <v>87</v>
      </c>
      <c r="B35" s="17" t="s">
        <v>88</v>
      </c>
      <c r="C35" s="18" t="s">
        <v>53</v>
      </c>
      <c r="D35" s="9"/>
      <c r="E35" s="9"/>
      <c r="F35" s="9"/>
      <c r="G35" s="9"/>
      <c r="H35" s="9"/>
      <c r="I35" s="12"/>
      <c r="L35" s="44"/>
      <c r="M35" s="44"/>
      <c r="O35" s="87"/>
      <c r="P35" s="44"/>
      <c r="Q35" s="44"/>
    </row>
    <row r="36" spans="1:17" x14ac:dyDescent="0.35">
      <c r="A36" s="20">
        <f>IF(E3="STSL",IF(A3&gt;0,A3,IF(B3&gt;0,B3,IF(C3&gt;0,C3,IF(D3&gt;0,D3,0)))),0)</f>
        <v>0</v>
      </c>
      <c r="B36" s="21">
        <f>TRUNC(A36,0)</f>
        <v>0</v>
      </c>
      <c r="C36" s="22">
        <f>TRUNC(B36*0.12,2)</f>
        <v>0</v>
      </c>
      <c r="D36" s="9"/>
      <c r="E36" s="9"/>
      <c r="F36" s="9"/>
      <c r="G36" s="9"/>
      <c r="H36" s="9"/>
      <c r="I36" s="12"/>
      <c r="L36" s="46"/>
      <c r="M36" s="44"/>
      <c r="O36" s="87"/>
      <c r="P36" s="46"/>
      <c r="Q36" s="44"/>
    </row>
    <row r="37" spans="1:17" x14ac:dyDescent="0.35">
      <c r="A37" s="8"/>
      <c r="B37" s="9"/>
      <c r="C37" s="9"/>
      <c r="D37" s="9"/>
      <c r="E37" s="9"/>
      <c r="F37" s="9"/>
      <c r="G37" s="9"/>
      <c r="H37" s="9"/>
      <c r="I37" s="12"/>
      <c r="M37" s="44"/>
      <c r="Q37" s="44"/>
    </row>
    <row r="38" spans="1:17" x14ac:dyDescent="0.35">
      <c r="A38" s="14" t="s">
        <v>106</v>
      </c>
      <c r="B38" s="25"/>
      <c r="C38" s="25"/>
      <c r="D38" s="9"/>
      <c r="E38" s="9"/>
      <c r="F38" s="9"/>
      <c r="G38" s="9"/>
      <c r="H38" s="9"/>
      <c r="I38" s="12"/>
      <c r="K38" s="87"/>
      <c r="L38" s="44"/>
      <c r="M38" s="44"/>
      <c r="P38" s="44"/>
      <c r="Q38" s="44"/>
    </row>
    <row r="39" spans="1:17" x14ac:dyDescent="0.35">
      <c r="A39" s="16" t="s">
        <v>87</v>
      </c>
      <c r="B39" s="17" t="s">
        <v>88</v>
      </c>
      <c r="C39" s="18" t="s">
        <v>66</v>
      </c>
      <c r="D39" s="9"/>
      <c r="E39" s="9"/>
      <c r="F39" s="9"/>
      <c r="G39" s="9"/>
      <c r="H39" s="9"/>
      <c r="I39" s="12"/>
      <c r="K39" s="87"/>
      <c r="L39" s="88"/>
      <c r="M39" s="44"/>
      <c r="P39" s="88"/>
      <c r="Q39" s="44"/>
    </row>
    <row r="40" spans="1:17" x14ac:dyDescent="0.35">
      <c r="A40" s="20">
        <f>IF(E3="SA",IF(A3&gt;0,A3,IF(B3&gt;0,B3,IF(C3&gt;0,C3,IF(D3&gt;0,D3,0)))),0)</f>
        <v>0</v>
      </c>
      <c r="B40" s="21">
        <f>TRUNC(A40,0)</f>
        <v>0</v>
      </c>
      <c r="C40" s="22">
        <f>TRUNC(B40*0.4039,2)</f>
        <v>0</v>
      </c>
      <c r="D40" s="9"/>
      <c r="E40" s="9"/>
      <c r="F40" s="9"/>
      <c r="G40" s="9"/>
      <c r="H40" s="9"/>
      <c r="I40" s="12"/>
      <c r="M40" s="44"/>
      <c r="Q40" s="44"/>
    </row>
    <row r="41" spans="1:17" x14ac:dyDescent="0.35">
      <c r="A41" s="8"/>
      <c r="B41" s="9"/>
      <c r="C41" s="9"/>
      <c r="D41" s="9"/>
      <c r="E41" s="9"/>
      <c r="F41" s="9"/>
      <c r="G41" s="9"/>
      <c r="H41" s="9"/>
      <c r="I41" s="12"/>
      <c r="M41" s="44"/>
      <c r="Q41" s="44"/>
    </row>
    <row r="42" spans="1:17" x14ac:dyDescent="0.35">
      <c r="A42" s="14" t="s">
        <v>107</v>
      </c>
      <c r="B42" s="25"/>
      <c r="C42" s="25"/>
      <c r="D42" s="9"/>
      <c r="E42" s="9"/>
      <c r="F42" s="9"/>
      <c r="G42" s="9"/>
      <c r="H42" s="9"/>
      <c r="I42" s="12"/>
      <c r="M42" s="44"/>
      <c r="Q42" s="44"/>
    </row>
    <row r="43" spans="1:17" x14ac:dyDescent="0.35">
      <c r="A43" s="16" t="s">
        <v>87</v>
      </c>
      <c r="B43" s="17" t="s">
        <v>88</v>
      </c>
      <c r="C43" s="18" t="s">
        <v>53</v>
      </c>
      <c r="D43" s="9"/>
      <c r="E43" s="9"/>
      <c r="F43" s="9"/>
      <c r="G43" s="9"/>
      <c r="H43" s="9"/>
      <c r="I43" s="12"/>
      <c r="M43" s="44"/>
      <c r="Q43" s="44"/>
    </row>
    <row r="44" spans="1:17" x14ac:dyDescent="0.35">
      <c r="A44" s="20">
        <f>IF(E3="SASL",IF(A3&gt;0,A3,IF(B3&gt;0,B3,IF(C3&gt;0,C3,IF(D3&gt;0,D3,0)))),0)</f>
        <v>0</v>
      </c>
      <c r="B44" s="21">
        <f>TRUNC(A44,0)</f>
        <v>0</v>
      </c>
      <c r="C44" s="22">
        <f>TRUNC(B44*0.12,2)</f>
        <v>0</v>
      </c>
      <c r="D44" s="9"/>
      <c r="E44" s="9"/>
      <c r="F44" s="9"/>
      <c r="G44" s="9"/>
      <c r="H44" s="9"/>
      <c r="I44" s="12"/>
    </row>
    <row r="45" spans="1:17" x14ac:dyDescent="0.35">
      <c r="A45" s="8"/>
      <c r="B45" s="9"/>
      <c r="C45" s="9"/>
      <c r="D45" s="9"/>
      <c r="E45" s="9"/>
      <c r="F45" s="9"/>
      <c r="G45" s="9"/>
      <c r="H45" s="9"/>
      <c r="I45" s="12"/>
    </row>
    <row r="46" spans="1:17" x14ac:dyDescent="0.35">
      <c r="A46" s="14" t="s">
        <v>108</v>
      </c>
      <c r="B46" s="25"/>
      <c r="C46" s="25"/>
      <c r="D46" s="9"/>
      <c r="E46" s="9"/>
      <c r="F46" s="9"/>
      <c r="G46" s="9"/>
      <c r="H46" s="9"/>
      <c r="I46" s="12"/>
    </row>
    <row r="47" spans="1:17" x14ac:dyDescent="0.35">
      <c r="A47" s="28" t="s">
        <v>87</v>
      </c>
      <c r="B47" s="17" t="s">
        <v>88</v>
      </c>
      <c r="C47" s="18" t="s">
        <v>66</v>
      </c>
      <c r="D47" s="9"/>
      <c r="E47" s="9"/>
      <c r="F47" s="9"/>
      <c r="G47" s="9"/>
      <c r="H47" s="9"/>
      <c r="I47" s="12"/>
    </row>
    <row r="48" spans="1:17" x14ac:dyDescent="0.35">
      <c r="A48" s="20">
        <f>IF(OR(E3="SB",E3="SBSL"),IF(A3&gt;0,A3,IF(B3&gt;0,B3,IF(C3&gt;0,C3,IF(D3&gt;0,D3,0)))),0)</f>
        <v>0</v>
      </c>
      <c r="B48" s="21">
        <f>(TRUNC(A48,0))</f>
        <v>0</v>
      </c>
      <c r="C48" s="22">
        <f>TRUNC((B48*0.1189),2)</f>
        <v>0</v>
      </c>
      <c r="D48" s="9"/>
      <c r="E48" s="9"/>
      <c r="F48" s="9"/>
      <c r="G48" s="9"/>
      <c r="H48" s="9"/>
      <c r="I48" s="12"/>
    </row>
    <row r="49" spans="1:12" x14ac:dyDescent="0.35">
      <c r="A49" s="8"/>
      <c r="B49" s="9"/>
      <c r="C49" s="9"/>
      <c r="D49" s="9"/>
      <c r="E49" s="9"/>
      <c r="F49" s="9"/>
      <c r="G49" s="9"/>
      <c r="H49" s="9"/>
      <c r="I49" s="12"/>
    </row>
    <row r="50" spans="1:12" x14ac:dyDescent="0.35">
      <c r="A50" s="14" t="s">
        <v>109</v>
      </c>
      <c r="B50" s="25"/>
      <c r="C50" s="25"/>
      <c r="D50" s="9"/>
      <c r="E50" s="9"/>
      <c r="F50" s="9"/>
      <c r="G50" s="9"/>
      <c r="H50" s="9"/>
      <c r="I50" s="12"/>
    </row>
    <row r="51" spans="1:12" x14ac:dyDescent="0.35">
      <c r="A51" s="16" t="s">
        <v>87</v>
      </c>
      <c r="B51" s="17" t="s">
        <v>88</v>
      </c>
      <c r="C51" s="18" t="s">
        <v>53</v>
      </c>
      <c r="D51" s="9"/>
      <c r="E51" s="9"/>
      <c r="F51" s="9"/>
      <c r="G51" s="9"/>
      <c r="H51" s="9"/>
      <c r="I51" s="12"/>
    </row>
    <row r="52" spans="1:12" x14ac:dyDescent="0.35">
      <c r="A52" s="20">
        <f>IF(E3="SBSL",IF(A3&gt;0,A3,IF(B3&gt;0,B3,IF(C3&gt;0,C3,IF(D3&gt;0,D3,0)))),0)</f>
        <v>0</v>
      </c>
      <c r="B52" s="21">
        <f>TRUNC(A52,0)</f>
        <v>0</v>
      </c>
      <c r="C52" s="22">
        <f>TRUNC(B52*0.12,2)</f>
        <v>0</v>
      </c>
      <c r="D52" s="9"/>
      <c r="E52" s="9"/>
      <c r="F52" s="9"/>
      <c r="G52" s="9"/>
      <c r="H52" s="9"/>
      <c r="I52" s="12"/>
    </row>
    <row r="53" spans="1:12" x14ac:dyDescent="0.35">
      <c r="A53" s="8"/>
      <c r="B53" s="9"/>
      <c r="C53" s="9"/>
      <c r="D53" s="9"/>
      <c r="E53" s="9"/>
      <c r="F53" s="9"/>
      <c r="G53" s="9"/>
      <c r="H53" s="9"/>
      <c r="I53" s="12"/>
    </row>
    <row r="54" spans="1:12" x14ac:dyDescent="0.35">
      <c r="A54" s="14" t="s">
        <v>110</v>
      </c>
      <c r="B54" s="25"/>
      <c r="C54" s="25"/>
      <c r="D54" s="9"/>
      <c r="E54" s="9"/>
      <c r="F54" s="9"/>
      <c r="G54" s="9"/>
      <c r="H54" s="9"/>
      <c r="I54" s="12"/>
    </row>
    <row r="55" spans="1:12" x14ac:dyDescent="0.35">
      <c r="A55" s="16" t="s">
        <v>87</v>
      </c>
      <c r="B55" s="17" t="s">
        <v>88</v>
      </c>
      <c r="C55" s="18" t="s">
        <v>66</v>
      </c>
      <c r="D55" s="9"/>
      <c r="E55" s="9"/>
      <c r="F55" s="9"/>
      <c r="G55" s="9"/>
      <c r="H55" s="9"/>
      <c r="I55" s="12"/>
    </row>
    <row r="56" spans="1:12" x14ac:dyDescent="0.35">
      <c r="A56" s="20">
        <f>IF(E3="EDW",IF(A3&gt;0,A3,IF(B3&gt;0,B3,IF(C3&gt;0,C3,IF(D3&gt;0,D3,0)))),0)</f>
        <v>0</v>
      </c>
      <c r="B56" s="21">
        <f>(TRUNC(A56,0))</f>
        <v>0</v>
      </c>
      <c r="C56" s="22">
        <f>TRUNC(B56*0.1889,2)</f>
        <v>0</v>
      </c>
      <c r="D56" s="9"/>
      <c r="E56" s="9"/>
      <c r="F56" s="9"/>
      <c r="G56" s="9"/>
      <c r="H56" s="9"/>
      <c r="I56" s="12"/>
    </row>
    <row r="57" spans="1:12" x14ac:dyDescent="0.35">
      <c r="A57" s="8"/>
      <c r="B57" s="9"/>
      <c r="C57" s="9"/>
      <c r="D57" s="9"/>
      <c r="E57" s="9"/>
      <c r="F57" s="9"/>
      <c r="G57" s="9"/>
      <c r="H57" s="9"/>
      <c r="I57" s="12"/>
    </row>
    <row r="58" spans="1:12" x14ac:dyDescent="0.35">
      <c r="A58" s="14" t="s">
        <v>111</v>
      </c>
      <c r="B58" s="25"/>
      <c r="C58" s="25"/>
      <c r="D58" s="9"/>
      <c r="E58" s="9"/>
      <c r="F58" s="9"/>
      <c r="G58" s="9"/>
      <c r="H58" s="9"/>
      <c r="I58" s="12"/>
    </row>
    <row r="59" spans="1:12" x14ac:dyDescent="0.35">
      <c r="A59" s="16" t="s">
        <v>87</v>
      </c>
      <c r="B59" s="17" t="s">
        <v>88</v>
      </c>
      <c r="C59" s="18" t="s">
        <v>66</v>
      </c>
      <c r="D59" s="9"/>
      <c r="E59" s="9"/>
      <c r="F59" s="9"/>
      <c r="G59" s="9"/>
      <c r="H59" s="9"/>
      <c r="I59" s="12"/>
    </row>
    <row r="60" spans="1:12" x14ac:dyDescent="0.35">
      <c r="A60" s="20">
        <f>IF(E3="CAE",IF(A3&gt;0,A3,IF(B3&gt;0,B3,IF(C3&gt;0,C3,IF(D3&gt;0,D3,0)))),0)</f>
        <v>0</v>
      </c>
      <c r="B60" s="21">
        <f>(TRUNC(A60,0))</f>
        <v>0</v>
      </c>
      <c r="C60" s="22">
        <f>TRUNC(B60*0.1889,2)</f>
        <v>0</v>
      </c>
      <c r="D60" s="9"/>
      <c r="E60" s="9"/>
      <c r="F60" s="9"/>
      <c r="G60" s="9"/>
      <c r="H60" s="9"/>
      <c r="I60" s="12"/>
    </row>
    <row r="61" spans="1:12" x14ac:dyDescent="0.35">
      <c r="A61" s="8"/>
      <c r="B61" s="9"/>
      <c r="C61" s="9"/>
      <c r="D61" s="9"/>
      <c r="E61" s="9"/>
      <c r="F61" s="9"/>
      <c r="G61" s="9"/>
      <c r="H61" s="9"/>
      <c r="I61" s="12"/>
    </row>
    <row r="62" spans="1:12" x14ac:dyDescent="0.35">
      <c r="A62" s="14" t="s">
        <v>112</v>
      </c>
      <c r="B62" s="25"/>
      <c r="C62" s="25"/>
      <c r="D62" s="9"/>
      <c r="E62" s="9"/>
      <c r="F62" s="9"/>
      <c r="G62" s="9"/>
      <c r="H62" s="9"/>
      <c r="I62" s="12"/>
    </row>
    <row r="63" spans="1:12" x14ac:dyDescent="0.35">
      <c r="A63" s="16" t="s">
        <v>87</v>
      </c>
      <c r="B63" s="17" t="s">
        <v>88</v>
      </c>
      <c r="C63" s="18" t="s">
        <v>66</v>
      </c>
      <c r="D63" s="9"/>
      <c r="E63" s="9"/>
      <c r="F63" s="9"/>
      <c r="G63" s="9"/>
      <c r="H63" s="9"/>
      <c r="I63" s="12"/>
      <c r="L63" s="45"/>
    </row>
    <row r="64" spans="1:12" x14ac:dyDescent="0.35">
      <c r="A64" s="20">
        <f>IF(E3="ND",IF(A3&gt;0,A3,IF(B3&gt;0,B3,IF(C3&gt;0,C3,IF(D3&gt;0,D3,0)))),0)</f>
        <v>0</v>
      </c>
      <c r="B64" s="21">
        <f>(TRUNC(A64,0))</f>
        <v>0</v>
      </c>
      <c r="C64" s="22">
        <f>TRUNC(B64*0.4639,2)</f>
        <v>0</v>
      </c>
      <c r="D64" s="9"/>
      <c r="E64" s="9"/>
      <c r="F64" s="9"/>
      <c r="G64" s="9"/>
      <c r="H64" s="9"/>
      <c r="I64" s="12"/>
      <c r="L64" s="45"/>
    </row>
    <row r="65" spans="1:10" x14ac:dyDescent="0.35">
      <c r="A65" s="8"/>
      <c r="B65" s="9"/>
      <c r="C65" s="9"/>
      <c r="D65" s="9"/>
      <c r="E65" s="9"/>
      <c r="F65" s="9"/>
      <c r="G65" s="9"/>
      <c r="H65" s="9"/>
      <c r="I65" s="12"/>
    </row>
    <row r="66" spans="1:10" x14ac:dyDescent="0.35">
      <c r="A66" s="14" t="s">
        <v>113</v>
      </c>
      <c r="B66" s="15"/>
      <c r="C66" s="15"/>
      <c r="D66" s="9"/>
      <c r="E66" s="9"/>
      <c r="F66" s="9"/>
      <c r="G66" s="9"/>
      <c r="H66" s="9"/>
      <c r="I66" s="12"/>
    </row>
    <row r="67" spans="1:10" x14ac:dyDescent="0.35">
      <c r="A67" s="16" t="s">
        <v>9</v>
      </c>
      <c r="B67" s="17" t="s">
        <v>88</v>
      </c>
      <c r="C67" s="17" t="s">
        <v>114</v>
      </c>
      <c r="D67" s="17" t="s">
        <v>78</v>
      </c>
      <c r="E67" s="17" t="s">
        <v>79</v>
      </c>
      <c r="F67" s="17" t="s">
        <v>115</v>
      </c>
      <c r="G67" s="17" t="s">
        <v>80</v>
      </c>
      <c r="H67" s="17" t="s">
        <v>81</v>
      </c>
      <c r="I67" s="29" t="s">
        <v>66</v>
      </c>
    </row>
    <row r="68" spans="1:10" x14ac:dyDescent="0.35">
      <c r="A68" s="20">
        <f>IF(OR($E$3="ME",$E$3="MESL"),IF($A$3&gt;0,$A$3,IF($B$3&gt;0,$B$3,IF($C$3&gt;0,$C$3,IF($D$3&gt;0,$D$3,0)))),0)</f>
        <v>0</v>
      </c>
      <c r="B68" s="21">
        <f>IF($A$3&gt;0,A68*12,IF($B$3&gt;0,A68*26,IF($C$3&gt;0,A68*13,IF($D$3&gt;0,A68*52,0))))</f>
        <v>0</v>
      </c>
      <c r="C68" s="21">
        <f>TRUNC(B68,0)</f>
        <v>0</v>
      </c>
      <c r="D68" s="21">
        <f>IF(C68&lt;=14000,(C68*0.105),IF(C68&lt;=48000,(C68*0.175)-980,IF(C68&lt;=70000,(C68*0.3)-6980,IF(C68&gt;70000,(C68*0.33)-9080,0))))</f>
        <v>0</v>
      </c>
      <c r="E68" s="21">
        <f>IF(C68&lt;=N4,C68*N3,IF(C68&gt;=N4,N5,0))</f>
        <v>0</v>
      </c>
      <c r="F68" s="21">
        <v>0</v>
      </c>
      <c r="G68" s="21">
        <f>(D68+E68)-F68</f>
        <v>0</v>
      </c>
      <c r="H68" s="21">
        <f>TRUNC(G68/52,2)</f>
        <v>0</v>
      </c>
      <c r="I68" s="30">
        <f>TRUNC(IF(A3&gt;0,(H68*52)/12,IF(B3&gt;0,(H68*52)/26,IF(C3&gt;0,(H68*52)/13,IF(D3&gt;0,H68,0)))),2)</f>
        <v>0</v>
      </c>
    </row>
    <row r="69" spans="1:10" x14ac:dyDescent="0.35">
      <c r="A69" s="8"/>
      <c r="B69" s="9"/>
      <c r="C69" s="9"/>
      <c r="D69" s="9"/>
      <c r="E69" s="9"/>
      <c r="F69" s="9"/>
      <c r="G69" s="10"/>
      <c r="H69" s="9"/>
      <c r="I69" s="12"/>
      <c r="J69" s="44"/>
    </row>
    <row r="70" spans="1:10" x14ac:dyDescent="0.35">
      <c r="A70" s="14" t="s">
        <v>116</v>
      </c>
      <c r="B70" s="15"/>
      <c r="C70" s="15"/>
      <c r="D70" s="9"/>
      <c r="E70" s="9"/>
      <c r="F70" s="9"/>
      <c r="G70" s="9"/>
      <c r="H70" s="9"/>
      <c r="I70" s="12"/>
    </row>
    <row r="71" spans="1:10" x14ac:dyDescent="0.35">
      <c r="A71" s="16" t="s">
        <v>87</v>
      </c>
      <c r="B71" s="17" t="s">
        <v>88</v>
      </c>
      <c r="C71" s="17" t="s">
        <v>89</v>
      </c>
      <c r="D71" s="18" t="s">
        <v>53</v>
      </c>
      <c r="E71" s="9"/>
      <c r="F71" s="9"/>
      <c r="G71" s="9"/>
      <c r="H71" s="9"/>
      <c r="I71" s="12"/>
    </row>
    <row r="72" spans="1:10" x14ac:dyDescent="0.35">
      <c r="A72" s="20">
        <f>IF(E3="MESL",IF(A3&gt;0,A3,IF(B3&gt;0,B3,IF(C3&gt;0,C3,IF(D3&gt;0,D3,0)))),0)</f>
        <v>0</v>
      </c>
      <c r="B72" s="21">
        <f>TRUNC(A72,0)</f>
        <v>0</v>
      </c>
      <c r="C72" s="21">
        <f>IF(E3="MESL",(N7/F3),0)</f>
        <v>0</v>
      </c>
      <c r="D72" s="22">
        <f>TRUNC(IF(B72&lt;C72,0,IF(B72&gt;C72,(B72-C72)*0.12,0)),2)</f>
        <v>0</v>
      </c>
      <c r="E72" s="9"/>
      <c r="F72" s="9"/>
      <c r="G72" s="9"/>
      <c r="H72" s="9"/>
      <c r="I72" s="12"/>
    </row>
    <row r="73" spans="1:10" x14ac:dyDescent="0.35">
      <c r="A73" s="8"/>
      <c r="B73" s="9"/>
      <c r="C73" s="9"/>
      <c r="D73" s="9"/>
      <c r="E73" s="9"/>
      <c r="F73" s="9"/>
      <c r="G73" s="9"/>
      <c r="H73" s="9"/>
      <c r="I73" s="12"/>
    </row>
    <row r="74" spans="1:10" x14ac:dyDescent="0.35">
      <c r="A74" s="14" t="s">
        <v>117</v>
      </c>
      <c r="B74" s="25"/>
      <c r="C74" s="25"/>
      <c r="D74" s="9"/>
      <c r="E74" s="9"/>
      <c r="F74" s="9"/>
      <c r="G74" s="9"/>
      <c r="H74" s="9"/>
      <c r="I74" s="12"/>
    </row>
    <row r="75" spans="1:10" x14ac:dyDescent="0.35">
      <c r="A75" s="16" t="s">
        <v>87</v>
      </c>
      <c r="B75" s="17" t="s">
        <v>88</v>
      </c>
      <c r="C75" s="18" t="s">
        <v>66</v>
      </c>
      <c r="D75" s="9"/>
      <c r="E75" s="9"/>
      <c r="F75" s="9"/>
      <c r="G75" s="9"/>
      <c r="H75" s="9"/>
      <c r="I75" s="12"/>
    </row>
    <row r="76" spans="1:10" ht="15" thickBot="1" x14ac:dyDescent="0.4">
      <c r="A76" s="31">
        <f>IF(E3="NSW",IF(A3&gt;0,A3,IF(B3&gt;0,B3,IF(C3&gt;0,C3,IF(D3&gt;0,D3,0)))),0)</f>
        <v>0</v>
      </c>
      <c r="B76" s="32">
        <f>(TRUNC(A76,0))</f>
        <v>0</v>
      </c>
      <c r="C76" s="33">
        <f>TRUNC(B76*0.1189,2)</f>
        <v>0</v>
      </c>
      <c r="D76" s="34"/>
      <c r="E76" s="35"/>
      <c r="F76" s="35"/>
      <c r="G76" s="34"/>
      <c r="H76" s="34"/>
      <c r="I76" s="36"/>
    </row>
  </sheetData>
  <mergeCells count="1">
    <mergeCell ref="A1:I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7DC3-AFB6-4E9D-AF04-7E0DCCA5194C}">
  <sheetPr codeName="Sheet3"/>
  <dimension ref="A1:Q76"/>
  <sheetViews>
    <sheetView zoomScale="70" zoomScaleNormal="70" workbookViewId="0">
      <selection activeCell="L1" sqref="L1:Q7"/>
    </sheetView>
  </sheetViews>
  <sheetFormatPr defaultRowHeight="14.5" x14ac:dyDescent="0.35"/>
  <cols>
    <col min="1" max="1" width="13.7265625" customWidth="1"/>
    <col min="2" max="2" width="13.81640625" bestFit="1" customWidth="1"/>
    <col min="3" max="3" width="17.54296875" bestFit="1" customWidth="1"/>
    <col min="4" max="4" width="13.81640625" bestFit="1" customWidth="1"/>
    <col min="5" max="5" width="13.453125" customWidth="1"/>
    <col min="6" max="6" width="18.26953125" bestFit="1" customWidth="1"/>
    <col min="7" max="7" width="18.54296875" customWidth="1"/>
    <col min="8" max="8" width="18.54296875" bestFit="1" customWidth="1"/>
    <col min="9" max="9" width="14.81640625" customWidth="1"/>
    <col min="11" max="11" width="17.26953125" customWidth="1"/>
    <col min="12" max="12" width="23.81640625" customWidth="1"/>
    <col min="13" max="14" width="12.26953125" bestFit="1" customWidth="1"/>
    <col min="15" max="15" width="12.453125" bestFit="1" customWidth="1"/>
    <col min="16" max="16" width="11.26953125" bestFit="1" customWidth="1"/>
    <col min="17" max="17" width="12.26953125" bestFit="1" customWidth="1"/>
  </cols>
  <sheetData>
    <row r="1" spans="1:17" ht="20.5" thickBot="1" x14ac:dyDescent="0.45">
      <c r="A1" s="146" t="s">
        <v>61</v>
      </c>
      <c r="B1" s="147"/>
      <c r="C1" s="147"/>
      <c r="D1" s="147"/>
      <c r="E1" s="147"/>
      <c r="F1" s="147"/>
      <c r="G1" s="147"/>
      <c r="H1" s="147"/>
      <c r="I1" s="148"/>
      <c r="L1" s="37" t="s">
        <v>135</v>
      </c>
      <c r="M1" s="38"/>
      <c r="N1" s="38"/>
    </row>
    <row r="2" spans="1:17" ht="15" thickBot="1" x14ac:dyDescent="0.4">
      <c r="A2" s="1" t="s">
        <v>62</v>
      </c>
      <c r="B2" s="1" t="s">
        <v>63</v>
      </c>
      <c r="C2" s="1" t="s">
        <v>64</v>
      </c>
      <c r="D2" s="1" t="s">
        <v>9</v>
      </c>
      <c r="E2" s="1" t="s">
        <v>12</v>
      </c>
      <c r="F2" s="1" t="s">
        <v>65</v>
      </c>
      <c r="G2" s="2" t="s">
        <v>66</v>
      </c>
      <c r="H2" s="3" t="s">
        <v>53</v>
      </c>
      <c r="I2" s="3" t="s">
        <v>55</v>
      </c>
      <c r="L2" s="37"/>
      <c r="M2" s="39" t="s">
        <v>67</v>
      </c>
      <c r="N2" s="40" t="s">
        <v>68</v>
      </c>
      <c r="O2" s="40" t="s">
        <v>69</v>
      </c>
      <c r="P2" s="40" t="s">
        <v>70</v>
      </c>
      <c r="Q2" s="40" t="s">
        <v>62</v>
      </c>
    </row>
    <row r="3" spans="1:17" ht="15" thickBot="1" x14ac:dyDescent="0.4">
      <c r="A3" s="4">
        <f>Payslip!D37</f>
        <v>878.37750000000005</v>
      </c>
      <c r="B3" s="4"/>
      <c r="C3" s="4"/>
      <c r="D3" s="4"/>
      <c r="E3" s="5" t="str">
        <f>Payslip!G11</f>
        <v>M</v>
      </c>
      <c r="F3" s="6">
        <f>IF(A3&gt;0,12,IF(B3&gt;0,26,IF(C3&gt;0,13,IF(D3&gt;0,52,0))))</f>
        <v>12</v>
      </c>
      <c r="G3" s="7">
        <f>SUM(H8,C16,C24,C32,C48,C56,C60,C64,I68,C76,C40)</f>
        <v>105.04</v>
      </c>
      <c r="H3" s="7">
        <f>SUM(D12,C20,C28,C36,C52,D72,C44)</f>
        <v>0</v>
      </c>
      <c r="I3" s="7">
        <f>SUM(A3:D3)-SUM(G3:H3)</f>
        <v>773.33750000000009</v>
      </c>
      <c r="L3" s="37" t="s">
        <v>71</v>
      </c>
      <c r="M3" s="38">
        <v>1.3899999999999999E-2</v>
      </c>
      <c r="N3" s="38">
        <v>1.46E-2</v>
      </c>
      <c r="O3" s="38"/>
      <c r="P3" s="38"/>
      <c r="Q3" s="38"/>
    </row>
    <row r="4" spans="1:17" x14ac:dyDescent="0.35">
      <c r="A4" s="8"/>
      <c r="B4" s="9"/>
      <c r="C4" s="9"/>
      <c r="D4" s="10"/>
      <c r="E4" s="11"/>
      <c r="F4" s="11"/>
      <c r="G4" s="10"/>
      <c r="H4" s="9"/>
      <c r="I4" s="12"/>
      <c r="L4" s="37" t="s">
        <v>72</v>
      </c>
      <c r="M4" s="41">
        <v>130911</v>
      </c>
      <c r="N4" s="41">
        <v>136544</v>
      </c>
      <c r="O4" s="42">
        <v>2625.8461538461538</v>
      </c>
      <c r="P4" s="42">
        <v>5251.6923076923076</v>
      </c>
      <c r="Q4" s="42">
        <v>11378.666666666666</v>
      </c>
    </row>
    <row r="5" spans="1:17" x14ac:dyDescent="0.35">
      <c r="A5" s="8"/>
      <c r="B5" s="9"/>
      <c r="C5" s="9"/>
      <c r="D5" s="9"/>
      <c r="E5" s="13"/>
      <c r="F5" s="13"/>
      <c r="G5" s="9"/>
      <c r="H5" s="9"/>
      <c r="I5" s="12"/>
      <c r="L5" s="37" t="s">
        <v>73</v>
      </c>
      <c r="M5" s="41">
        <v>1819.6628999999998</v>
      </c>
      <c r="N5" s="41">
        <v>1993.5424</v>
      </c>
      <c r="O5" s="42">
        <v>38.337353846153846</v>
      </c>
      <c r="P5" s="42">
        <v>76.674707692307692</v>
      </c>
      <c r="Q5" s="42">
        <v>166.12853333333334</v>
      </c>
    </row>
    <row r="6" spans="1:17" x14ac:dyDescent="0.35">
      <c r="A6" s="14" t="s">
        <v>74</v>
      </c>
      <c r="B6" s="15"/>
      <c r="C6" s="15"/>
      <c r="D6" s="9"/>
      <c r="E6" s="9"/>
      <c r="F6" s="9"/>
      <c r="G6" s="9"/>
      <c r="H6" s="9"/>
      <c r="I6" s="12"/>
      <c r="L6" s="37"/>
      <c r="M6" s="38"/>
      <c r="N6" s="38"/>
    </row>
    <row r="7" spans="1:17" x14ac:dyDescent="0.35">
      <c r="A7" s="16" t="s">
        <v>75</v>
      </c>
      <c r="B7" s="17" t="s">
        <v>76</v>
      </c>
      <c r="C7" s="17" t="s">
        <v>77</v>
      </c>
      <c r="D7" s="17" t="s">
        <v>78</v>
      </c>
      <c r="E7" s="17" t="s">
        <v>79</v>
      </c>
      <c r="F7" s="17" t="s">
        <v>80</v>
      </c>
      <c r="G7" s="17" t="s">
        <v>81</v>
      </c>
      <c r="H7" s="18" t="s">
        <v>66</v>
      </c>
      <c r="I7" s="19"/>
      <c r="K7" s="43"/>
      <c r="L7" s="37" t="s">
        <v>82</v>
      </c>
      <c r="M7" s="116">
        <v>20280</v>
      </c>
      <c r="N7" s="116">
        <v>21268</v>
      </c>
      <c r="O7" s="115">
        <v>409</v>
      </c>
      <c r="P7" s="115">
        <v>818</v>
      </c>
      <c r="Q7" s="115">
        <v>1772.33</v>
      </c>
    </row>
    <row r="8" spans="1:17" x14ac:dyDescent="0.35">
      <c r="A8" s="20">
        <f>IF(OR($E$3="M",$E$3="MSL"),IF($A$3&gt;0,$A$3,IF($B$3&gt;0,$B$3,IF($C$3&gt;0,$C$3,IF($D$3&gt;0,$D$3,0)))),0)</f>
        <v>878.37750000000005</v>
      </c>
      <c r="B8" s="21">
        <f>IF($A$3&gt;0,A8*12,IF($B$3&gt;0,A8*26,IF($C$3&gt;0,A8*13,IF($D$3&gt;0,A8*52,0))))</f>
        <v>10540.53</v>
      </c>
      <c r="C8" s="21">
        <f>TRUNC(B8,0)</f>
        <v>10540</v>
      </c>
      <c r="D8" s="21">
        <f>IF(C8&lt;=14000,(C8*0.105),IF(C8&lt;=48000,(C8*0.175)-980,IF(C8&lt;=70000,(C8*0.3)-6980,IF(C8&lt;=180000,(C8*0.33)-9080,IF(C8&gt;180000,(C8*0.39)-19880,0)))))</f>
        <v>1106.7</v>
      </c>
      <c r="E8" s="21">
        <f>IF(C8&lt;=N4,C8*N3,IF(C8&gt;=N4,N5,0))</f>
        <v>153.88400000000001</v>
      </c>
      <c r="F8" s="21">
        <f>D8+E8</f>
        <v>1260.5840000000001</v>
      </c>
      <c r="G8" s="21">
        <f>TRUNC(F8/52,2)</f>
        <v>24.24</v>
      </c>
      <c r="H8" s="22">
        <f>TRUNC(IF(A3&gt;0,(G8*52)/12,IF(B3&gt;0,(G8*52)/26,IF(C3&gt;0,(G8*52)/13,IF(D3&gt;0,G8,0)))),2)</f>
        <v>105.04</v>
      </c>
      <c r="I8" s="12"/>
      <c r="K8" s="44"/>
      <c r="L8" s="37"/>
      <c r="M8" s="38"/>
      <c r="N8" s="38"/>
    </row>
    <row r="9" spans="1:17" ht="15" thickBot="1" x14ac:dyDescent="0.4">
      <c r="A9" s="8"/>
      <c r="B9" s="9"/>
      <c r="C9" s="9"/>
      <c r="D9" s="9"/>
      <c r="E9" s="9"/>
      <c r="F9" s="9"/>
      <c r="G9" s="10"/>
      <c r="H9" s="23"/>
      <c r="I9" s="12"/>
    </row>
    <row r="10" spans="1:17" ht="43.5" x14ac:dyDescent="0.35">
      <c r="A10" s="14" t="s">
        <v>83</v>
      </c>
      <c r="B10" s="15"/>
      <c r="C10" s="15"/>
      <c r="D10" s="9"/>
      <c r="E10" s="9"/>
      <c r="F10" s="9"/>
      <c r="G10" s="9"/>
      <c r="H10" s="9"/>
      <c r="I10" s="12"/>
      <c r="L10" s="92" t="s">
        <v>84</v>
      </c>
      <c r="M10" s="93" t="s">
        <v>85</v>
      </c>
      <c r="N10" s="94" t="s">
        <v>86</v>
      </c>
    </row>
    <row r="11" spans="1:17" x14ac:dyDescent="0.35">
      <c r="A11" s="16" t="s">
        <v>87</v>
      </c>
      <c r="B11" s="17" t="s">
        <v>88</v>
      </c>
      <c r="C11" s="17" t="s">
        <v>89</v>
      </c>
      <c r="D11" s="18" t="s">
        <v>53</v>
      </c>
      <c r="E11" s="9"/>
      <c r="F11" s="9"/>
      <c r="G11" s="9"/>
      <c r="H11" s="9"/>
      <c r="I11" s="12"/>
      <c r="L11" s="95" t="s">
        <v>90</v>
      </c>
      <c r="M11" s="96">
        <v>0</v>
      </c>
      <c r="N11" s="97">
        <v>0.105</v>
      </c>
      <c r="P11" s="86"/>
      <c r="Q11" s="44"/>
    </row>
    <row r="12" spans="1:17" x14ac:dyDescent="0.35">
      <c r="A12" s="20">
        <f>IF($E$3="MSL",(IF($A$3&gt;0,$A$3,IF($B$3&gt;0,$B$3,IF($C$3&gt;0,$C$3,IF($D$3&gt;0,$D$3,0))))),0)</f>
        <v>0</v>
      </c>
      <c r="B12" s="21">
        <f>TRUNC(A12,0)</f>
        <v>0</v>
      </c>
      <c r="C12" s="21">
        <v>1772.33</v>
      </c>
      <c r="D12" s="22">
        <f>TRUNC(IF(B12&lt;C12,0,IF(B12&gt;C12,(B12-C12)*0.12,0)),2)</f>
        <v>0</v>
      </c>
      <c r="E12" s="24"/>
      <c r="F12" s="10"/>
      <c r="G12" s="23"/>
      <c r="H12" s="9"/>
      <c r="I12" s="12"/>
      <c r="L12" s="95" t="s">
        <v>91</v>
      </c>
      <c r="M12" s="96">
        <v>16801</v>
      </c>
      <c r="N12" s="97">
        <v>0.17499999999999999</v>
      </c>
      <c r="P12" s="86"/>
      <c r="Q12" s="44"/>
    </row>
    <row r="13" spans="1:17" x14ac:dyDescent="0.35">
      <c r="A13" s="8"/>
      <c r="B13" s="9"/>
      <c r="C13" s="9"/>
      <c r="D13" s="9"/>
      <c r="E13" s="9"/>
      <c r="F13" s="9"/>
      <c r="G13" s="9"/>
      <c r="H13" s="9"/>
      <c r="I13" s="12"/>
      <c r="L13" s="95" t="s">
        <v>92</v>
      </c>
      <c r="M13" s="96">
        <v>57601</v>
      </c>
      <c r="N13" s="97">
        <v>0.3</v>
      </c>
    </row>
    <row r="14" spans="1:17" x14ac:dyDescent="0.35">
      <c r="A14" s="14" t="s">
        <v>93</v>
      </c>
      <c r="B14" s="25"/>
      <c r="C14" s="25"/>
      <c r="D14" s="9"/>
      <c r="E14" s="9"/>
      <c r="F14" s="9"/>
      <c r="G14" s="9"/>
      <c r="H14" s="9"/>
      <c r="I14" s="12"/>
      <c r="L14" s="95" t="s">
        <v>94</v>
      </c>
      <c r="M14" s="96">
        <v>84001</v>
      </c>
      <c r="N14" s="97">
        <v>0.33</v>
      </c>
      <c r="O14" s="86"/>
      <c r="P14" s="86"/>
      <c r="Q14" s="44"/>
    </row>
    <row r="15" spans="1:17" ht="15" thickBot="1" x14ac:dyDescent="0.4">
      <c r="A15" s="16" t="s">
        <v>87</v>
      </c>
      <c r="B15" s="17" t="s">
        <v>88</v>
      </c>
      <c r="C15" s="18" t="s">
        <v>66</v>
      </c>
      <c r="D15" s="9"/>
      <c r="E15" s="9"/>
      <c r="F15" s="9"/>
      <c r="G15" s="9"/>
      <c r="H15" s="9"/>
      <c r="I15" s="12"/>
      <c r="L15" s="98" t="s">
        <v>95</v>
      </c>
      <c r="M15" s="99">
        <v>216001</v>
      </c>
      <c r="N15" s="100">
        <v>0.39</v>
      </c>
      <c r="O15" s="44"/>
      <c r="P15" s="44"/>
    </row>
    <row r="16" spans="1:17" x14ac:dyDescent="0.35">
      <c r="A16" s="20">
        <f>IF(OR($E$3="S",$E$3="SSL"),IF($A$3&gt;0,$A$3,IF($B$3&gt;0,$B$3,IF($C$3&gt;0,$C$3,IF($D$3&gt;0,$D$3,0)))),0)</f>
        <v>0</v>
      </c>
      <c r="B16" s="21">
        <f>(TRUNC(A16,0))</f>
        <v>0</v>
      </c>
      <c r="C16" s="22">
        <f>TRUNC(B16*0.1889,2)</f>
        <v>0</v>
      </c>
      <c r="D16" s="9"/>
      <c r="E16" s="9"/>
      <c r="F16" s="9"/>
      <c r="G16" s="9"/>
      <c r="H16" s="9"/>
      <c r="I16" s="12"/>
      <c r="O16" s="46"/>
      <c r="P16" s="44"/>
      <c r="Q16" s="46"/>
    </row>
    <row r="17" spans="1:17" x14ac:dyDescent="0.35">
      <c r="A17" s="8"/>
      <c r="B17" s="9"/>
      <c r="C17" s="9"/>
      <c r="D17" s="9"/>
      <c r="E17" s="9"/>
      <c r="F17" s="9"/>
      <c r="G17" s="26"/>
      <c r="H17" s="26"/>
      <c r="I17" s="12"/>
      <c r="K17" s="86"/>
      <c r="Q17" s="44"/>
    </row>
    <row r="18" spans="1:17" x14ac:dyDescent="0.35">
      <c r="A18" s="14" t="s">
        <v>96</v>
      </c>
      <c r="B18" s="25"/>
      <c r="C18" s="25"/>
      <c r="D18" s="9"/>
      <c r="E18" s="9"/>
      <c r="F18" s="9"/>
      <c r="G18" s="27"/>
      <c r="H18" s="27"/>
      <c r="I18" s="12"/>
      <c r="K18" s="44"/>
      <c r="L18" s="91" t="s">
        <v>97</v>
      </c>
      <c r="N18" s="101">
        <f>C8</f>
        <v>10540</v>
      </c>
      <c r="P18" s="44"/>
    </row>
    <row r="19" spans="1:17" ht="29" x14ac:dyDescent="0.35">
      <c r="A19" s="16" t="s">
        <v>87</v>
      </c>
      <c r="B19" s="17" t="s">
        <v>88</v>
      </c>
      <c r="C19" s="18" t="s">
        <v>53</v>
      </c>
      <c r="D19" s="9"/>
      <c r="E19" s="9"/>
      <c r="F19" s="9"/>
      <c r="G19" s="9"/>
      <c r="H19" s="9"/>
      <c r="I19" s="12"/>
      <c r="K19" s="46"/>
      <c r="L19" s="102" t="s">
        <v>98</v>
      </c>
      <c r="M19" s="103">
        <f>Payslip!D31</f>
        <v>0.03</v>
      </c>
      <c r="N19" s="101">
        <f>N18*M19</f>
        <v>316.2</v>
      </c>
    </row>
    <row r="20" spans="1:17" ht="15" thickBot="1" x14ac:dyDescent="0.4">
      <c r="A20" s="20">
        <f>IF(E3="SSL",IF(A3&gt;0,A3,IF(B3&gt;0,B3,IF(C3&gt;0,C3,IF(D3&gt;0,D3,0)))),0)</f>
        <v>0</v>
      </c>
      <c r="B20" s="21">
        <f>TRUNC(A20,0)</f>
        <v>0</v>
      </c>
      <c r="C20" s="22">
        <f>TRUNC(B20*0.12,2)</f>
        <v>0</v>
      </c>
      <c r="D20" s="9"/>
      <c r="E20" s="9"/>
      <c r="F20" s="9"/>
      <c r="G20" s="9"/>
      <c r="H20" s="9"/>
      <c r="I20" s="12"/>
      <c r="L20" s="91" t="s">
        <v>99</v>
      </c>
      <c r="N20" s="104">
        <f>SUM(N18:N19)</f>
        <v>10856.2</v>
      </c>
      <c r="O20" s="47"/>
    </row>
    <row r="21" spans="1:17" ht="15" thickBot="1" x14ac:dyDescent="0.4">
      <c r="A21" s="8"/>
      <c r="B21" s="9"/>
      <c r="C21" s="9"/>
      <c r="D21" s="9"/>
      <c r="E21" s="9"/>
      <c r="F21" s="9"/>
      <c r="G21" s="9"/>
      <c r="H21" s="9"/>
      <c r="I21" s="12"/>
      <c r="L21" s="91"/>
      <c r="O21" s="47"/>
      <c r="P21" s="44"/>
      <c r="Q21" s="44"/>
    </row>
    <row r="22" spans="1:17" ht="15" thickBot="1" x14ac:dyDescent="0.4">
      <c r="A22" s="14" t="s">
        <v>100</v>
      </c>
      <c r="B22" s="25"/>
      <c r="C22" s="25"/>
      <c r="D22" s="9"/>
      <c r="E22" s="9"/>
      <c r="F22" s="9"/>
      <c r="G22" s="9"/>
      <c r="H22" s="9"/>
      <c r="I22" s="12"/>
      <c r="L22" s="91" t="s">
        <v>101</v>
      </c>
      <c r="N22" s="105">
        <f>VLOOKUP(N20,M11:N15,2,TRUE)</f>
        <v>0.105</v>
      </c>
      <c r="O22" s="47"/>
      <c r="P22" s="44"/>
      <c r="Q22" s="44"/>
    </row>
    <row r="23" spans="1:17" x14ac:dyDescent="0.35">
      <c r="A23" s="16" t="s">
        <v>87</v>
      </c>
      <c r="B23" s="17" t="s">
        <v>88</v>
      </c>
      <c r="C23" s="18" t="s">
        <v>66</v>
      </c>
      <c r="D23" s="9"/>
      <c r="E23" s="9"/>
      <c r="F23" s="9"/>
      <c r="G23" s="9"/>
      <c r="H23" s="9"/>
      <c r="I23" s="12"/>
      <c r="K23" s="47"/>
      <c r="L23" s="48" t="s">
        <v>102</v>
      </c>
      <c r="M23" s="44"/>
      <c r="N23" s="90">
        <f>Payslip!H31*N22</f>
        <v>2.76675</v>
      </c>
      <c r="O23" s="47"/>
      <c r="P23" s="48"/>
      <c r="Q23" s="44"/>
    </row>
    <row r="24" spans="1:17" x14ac:dyDescent="0.35">
      <c r="A24" s="20">
        <f>IF(OR(E3="SH",E3="SHSL"),IF(A3&gt;0,A3,IF(B3&gt;0,B3,IF(C3&gt;0,C3,IF(D3&gt;0,D3,0)))),0)</f>
        <v>0</v>
      </c>
      <c r="B24" s="21">
        <f>(TRUNC(A24,0))</f>
        <v>0</v>
      </c>
      <c r="C24" s="22">
        <f>TRUNC(B24*0.3139,2)</f>
        <v>0</v>
      </c>
      <c r="D24" s="9"/>
      <c r="E24" s="9"/>
      <c r="F24" s="9"/>
      <c r="G24" s="9"/>
      <c r="H24" s="9"/>
      <c r="I24" s="12"/>
      <c r="K24" s="47"/>
      <c r="L24" s="44"/>
      <c r="M24" s="44"/>
      <c r="O24" s="47"/>
      <c r="P24" s="44"/>
      <c r="Q24" s="44"/>
    </row>
    <row r="25" spans="1:17" x14ac:dyDescent="0.35">
      <c r="A25" s="8"/>
      <c r="B25" s="9"/>
      <c r="C25" s="9"/>
      <c r="D25" s="9"/>
      <c r="E25" s="9"/>
      <c r="F25" s="9"/>
      <c r="G25" s="9"/>
      <c r="H25" s="9"/>
      <c r="I25" s="12"/>
      <c r="K25" s="47"/>
      <c r="L25" s="44"/>
      <c r="M25" s="44"/>
      <c r="O25" s="47"/>
      <c r="P25" s="44"/>
      <c r="Q25" s="44"/>
    </row>
    <row r="26" spans="1:17" x14ac:dyDescent="0.35">
      <c r="A26" s="14" t="s">
        <v>103</v>
      </c>
      <c r="B26" s="25"/>
      <c r="C26" s="25"/>
      <c r="D26" s="9"/>
      <c r="E26" s="9"/>
      <c r="F26" s="9"/>
      <c r="G26" s="9"/>
      <c r="H26" s="9"/>
      <c r="I26" s="12"/>
      <c r="K26" s="47"/>
      <c r="L26" s="46"/>
      <c r="M26" s="44"/>
      <c r="O26" s="87"/>
      <c r="P26" s="46"/>
      <c r="Q26" s="44"/>
    </row>
    <row r="27" spans="1:17" x14ac:dyDescent="0.35">
      <c r="A27" s="16" t="s">
        <v>87</v>
      </c>
      <c r="B27" s="17" t="s">
        <v>88</v>
      </c>
      <c r="C27" s="18" t="s">
        <v>53</v>
      </c>
      <c r="D27" s="9"/>
      <c r="E27" s="9"/>
      <c r="F27" s="9"/>
      <c r="G27" s="9"/>
      <c r="H27" s="9"/>
      <c r="I27" s="12"/>
      <c r="K27" s="47"/>
      <c r="L27" s="44"/>
      <c r="M27" s="44"/>
      <c r="O27" s="87"/>
      <c r="P27" s="44"/>
      <c r="Q27" s="44"/>
    </row>
    <row r="28" spans="1:17" x14ac:dyDescent="0.35">
      <c r="A28" s="20">
        <f>IF(E3="SHSL",IF(A3&gt;0,A3,IF(B3&gt;0,B3,IF(C3&gt;0,C3,IF(D3&gt;0,D3,0)))),0)</f>
        <v>0</v>
      </c>
      <c r="B28" s="21">
        <f>TRUNC(A28,0)</f>
        <v>0</v>
      </c>
      <c r="C28" s="22">
        <f>TRUNC(B28*0.12,2)</f>
        <v>0</v>
      </c>
      <c r="D28" s="9"/>
      <c r="E28" s="9"/>
      <c r="F28" s="9"/>
      <c r="G28" s="9"/>
      <c r="H28" s="9"/>
      <c r="I28" s="12"/>
      <c r="K28" s="47"/>
      <c r="L28" s="46"/>
      <c r="M28" s="44"/>
      <c r="O28" s="87"/>
      <c r="P28" s="46"/>
      <c r="Q28" s="44"/>
    </row>
    <row r="29" spans="1:17" x14ac:dyDescent="0.35">
      <c r="A29" s="8"/>
      <c r="B29" s="9"/>
      <c r="C29" s="9"/>
      <c r="D29" s="9"/>
      <c r="E29" s="9"/>
      <c r="F29" s="9"/>
      <c r="G29" s="9"/>
      <c r="H29" s="9"/>
      <c r="I29" s="12"/>
      <c r="K29" s="87"/>
      <c r="L29" s="44"/>
      <c r="M29" s="44"/>
      <c r="P29" s="44"/>
      <c r="Q29" s="44"/>
    </row>
    <row r="30" spans="1:17" x14ac:dyDescent="0.35">
      <c r="A30" s="14" t="s">
        <v>104</v>
      </c>
      <c r="B30" s="25"/>
      <c r="C30" s="25"/>
      <c r="D30" s="9"/>
      <c r="E30" s="9"/>
      <c r="F30" s="9"/>
      <c r="G30" s="9"/>
      <c r="H30" s="9"/>
      <c r="I30" s="12"/>
      <c r="K30" s="87"/>
      <c r="L30" s="44"/>
      <c r="M30" s="44"/>
      <c r="P30" s="44"/>
      <c r="Q30" s="44"/>
    </row>
    <row r="31" spans="1:17" x14ac:dyDescent="0.35">
      <c r="A31" s="16" t="s">
        <v>87</v>
      </c>
      <c r="B31" s="17" t="s">
        <v>88</v>
      </c>
      <c r="C31" s="18" t="s">
        <v>66</v>
      </c>
      <c r="D31" s="9"/>
      <c r="E31" s="9"/>
      <c r="F31" s="9"/>
      <c r="G31" s="9"/>
      <c r="H31" s="9"/>
      <c r="I31" s="12"/>
      <c r="K31" s="87"/>
      <c r="L31" s="88"/>
      <c r="M31" s="44"/>
      <c r="P31" s="88"/>
      <c r="Q31" s="44"/>
    </row>
    <row r="32" spans="1:17" x14ac:dyDescent="0.35">
      <c r="A32" s="20">
        <f>IF(OR(E3="ST",E3="STSL"),IF(A3&gt;0,A3,IF(B3&gt;0,B3,IF(C3&gt;0,C3,IF(D3&gt;0,D3,0)))),0)</f>
        <v>0</v>
      </c>
      <c r="B32" s="21">
        <f>(TRUNC(A32,0))</f>
        <v>0</v>
      </c>
      <c r="C32" s="22">
        <f>TRUNC(B32*0.3439,2)</f>
        <v>0</v>
      </c>
      <c r="D32" s="9"/>
      <c r="E32" s="9"/>
      <c r="F32" s="9"/>
      <c r="G32" s="9"/>
      <c r="H32" s="9"/>
      <c r="I32" s="12"/>
      <c r="M32" s="44"/>
      <c r="Q32" s="44"/>
    </row>
    <row r="33" spans="1:17" x14ac:dyDescent="0.35">
      <c r="A33" s="8"/>
      <c r="B33" s="9"/>
      <c r="C33" s="9"/>
      <c r="D33" s="9"/>
      <c r="E33" s="9"/>
      <c r="F33" s="9"/>
      <c r="G33" s="9"/>
      <c r="H33" s="9"/>
      <c r="I33" s="12"/>
      <c r="M33" s="44"/>
      <c r="Q33" s="44"/>
    </row>
    <row r="34" spans="1:17" x14ac:dyDescent="0.35">
      <c r="A34" s="14" t="s">
        <v>105</v>
      </c>
      <c r="B34" s="25"/>
      <c r="C34" s="25"/>
      <c r="D34" s="9"/>
      <c r="E34" s="9"/>
      <c r="F34" s="9"/>
      <c r="G34" s="9"/>
      <c r="H34" s="9"/>
      <c r="I34" s="12"/>
      <c r="M34" s="44"/>
      <c r="Q34" s="44"/>
    </row>
    <row r="35" spans="1:17" x14ac:dyDescent="0.35">
      <c r="A35" s="16" t="s">
        <v>87</v>
      </c>
      <c r="B35" s="17" t="s">
        <v>88</v>
      </c>
      <c r="C35" s="18" t="s">
        <v>53</v>
      </c>
      <c r="D35" s="9"/>
      <c r="E35" s="9"/>
      <c r="F35" s="9"/>
      <c r="G35" s="9"/>
      <c r="H35" s="9"/>
      <c r="I35" s="12"/>
      <c r="L35" s="44"/>
      <c r="M35" s="44"/>
      <c r="O35" s="87"/>
      <c r="P35" s="44"/>
      <c r="Q35" s="44"/>
    </row>
    <row r="36" spans="1:17" x14ac:dyDescent="0.35">
      <c r="A36" s="20">
        <f>IF(E3="STSL",IF(A3&gt;0,A3,IF(B3&gt;0,B3,IF(C3&gt;0,C3,IF(D3&gt;0,D3,0)))),0)</f>
        <v>0</v>
      </c>
      <c r="B36" s="21">
        <f>TRUNC(A36,0)</f>
        <v>0</v>
      </c>
      <c r="C36" s="22">
        <f>TRUNC(B36*0.12,2)</f>
        <v>0</v>
      </c>
      <c r="D36" s="9"/>
      <c r="E36" s="9"/>
      <c r="F36" s="9"/>
      <c r="G36" s="9"/>
      <c r="H36" s="9"/>
      <c r="I36" s="12"/>
      <c r="L36" s="46"/>
      <c r="M36" s="44"/>
      <c r="O36" s="87"/>
      <c r="P36" s="46"/>
      <c r="Q36" s="44"/>
    </row>
    <row r="37" spans="1:17" x14ac:dyDescent="0.35">
      <c r="A37" s="8"/>
      <c r="B37" s="9"/>
      <c r="C37" s="9"/>
      <c r="D37" s="9"/>
      <c r="E37" s="9"/>
      <c r="F37" s="9"/>
      <c r="G37" s="9"/>
      <c r="H37" s="9"/>
      <c r="I37" s="12"/>
      <c r="M37" s="44"/>
      <c r="Q37" s="44"/>
    </row>
    <row r="38" spans="1:17" x14ac:dyDescent="0.35">
      <c r="A38" s="14" t="s">
        <v>106</v>
      </c>
      <c r="B38" s="25"/>
      <c r="C38" s="25"/>
      <c r="D38" s="9"/>
      <c r="E38" s="9"/>
      <c r="F38" s="9"/>
      <c r="G38" s="9"/>
      <c r="H38" s="9"/>
      <c r="I38" s="12"/>
      <c r="K38" s="87"/>
      <c r="L38" s="44"/>
      <c r="M38" s="44"/>
      <c r="P38" s="44"/>
      <c r="Q38" s="44"/>
    </row>
    <row r="39" spans="1:17" x14ac:dyDescent="0.35">
      <c r="A39" s="16" t="s">
        <v>87</v>
      </c>
      <c r="B39" s="17" t="s">
        <v>88</v>
      </c>
      <c r="C39" s="18" t="s">
        <v>66</v>
      </c>
      <c r="D39" s="9"/>
      <c r="E39" s="9"/>
      <c r="F39" s="9"/>
      <c r="G39" s="9"/>
      <c r="H39" s="9"/>
      <c r="I39" s="12"/>
      <c r="K39" s="87"/>
      <c r="L39" s="88"/>
      <c r="M39" s="44"/>
      <c r="P39" s="88"/>
      <c r="Q39" s="44"/>
    </row>
    <row r="40" spans="1:17" x14ac:dyDescent="0.35">
      <c r="A40" s="20">
        <f>IF(E3="SA",IF(A3&gt;0,A3,IF(B3&gt;0,B3,IF(C3&gt;0,C3,IF(D3&gt;0,D3,0)))),0)</f>
        <v>0</v>
      </c>
      <c r="B40" s="21">
        <f>TRUNC(A40,0)</f>
        <v>0</v>
      </c>
      <c r="C40" s="22">
        <f>TRUNC(B40*0.4039,2)</f>
        <v>0</v>
      </c>
      <c r="D40" s="9"/>
      <c r="E40" s="9"/>
      <c r="F40" s="9"/>
      <c r="G40" s="9"/>
      <c r="H40" s="9"/>
      <c r="I40" s="12"/>
      <c r="M40" s="44"/>
      <c r="Q40" s="44"/>
    </row>
    <row r="41" spans="1:17" x14ac:dyDescent="0.35">
      <c r="A41" s="8"/>
      <c r="B41" s="9"/>
      <c r="C41" s="9"/>
      <c r="D41" s="9"/>
      <c r="E41" s="9"/>
      <c r="F41" s="9"/>
      <c r="G41" s="9"/>
      <c r="H41" s="9"/>
      <c r="I41" s="12"/>
      <c r="M41" s="44"/>
      <c r="Q41" s="44"/>
    </row>
    <row r="42" spans="1:17" x14ac:dyDescent="0.35">
      <c r="A42" s="14" t="s">
        <v>107</v>
      </c>
      <c r="B42" s="25"/>
      <c r="C42" s="25"/>
      <c r="D42" s="9"/>
      <c r="E42" s="9"/>
      <c r="F42" s="9"/>
      <c r="G42" s="9"/>
      <c r="H42" s="9"/>
      <c r="I42" s="12"/>
      <c r="M42" s="44"/>
      <c r="Q42" s="44"/>
    </row>
    <row r="43" spans="1:17" x14ac:dyDescent="0.35">
      <c r="A43" s="16" t="s">
        <v>87</v>
      </c>
      <c r="B43" s="17" t="s">
        <v>88</v>
      </c>
      <c r="C43" s="18" t="s">
        <v>53</v>
      </c>
      <c r="D43" s="9"/>
      <c r="E43" s="9"/>
      <c r="F43" s="9"/>
      <c r="G43" s="9"/>
      <c r="H43" s="9"/>
      <c r="I43" s="12"/>
      <c r="M43" s="44"/>
      <c r="Q43" s="44"/>
    </row>
    <row r="44" spans="1:17" x14ac:dyDescent="0.35">
      <c r="A44" s="20">
        <f>IF(E3="SASL",IF(A3&gt;0,A3,IF(B3&gt;0,B3,IF(C3&gt;0,C3,IF(D3&gt;0,D3,0)))),0)</f>
        <v>0</v>
      </c>
      <c r="B44" s="21">
        <f>TRUNC(A44,0)</f>
        <v>0</v>
      </c>
      <c r="C44" s="22">
        <f>TRUNC(B44*0.12,2)</f>
        <v>0</v>
      </c>
      <c r="D44" s="9"/>
      <c r="E44" s="9"/>
      <c r="F44" s="9"/>
      <c r="G44" s="9"/>
      <c r="H44" s="9"/>
      <c r="I44" s="12"/>
    </row>
    <row r="45" spans="1:17" x14ac:dyDescent="0.35">
      <c r="A45" s="8"/>
      <c r="B45" s="9"/>
      <c r="C45" s="9"/>
      <c r="D45" s="9"/>
      <c r="E45" s="9"/>
      <c r="F45" s="9"/>
      <c r="G45" s="9"/>
      <c r="H45" s="9"/>
      <c r="I45" s="12"/>
    </row>
    <row r="46" spans="1:17" x14ac:dyDescent="0.35">
      <c r="A46" s="14" t="s">
        <v>108</v>
      </c>
      <c r="B46" s="25"/>
      <c r="C46" s="25"/>
      <c r="D46" s="9"/>
      <c r="E46" s="9"/>
      <c r="F46" s="9"/>
      <c r="G46" s="9"/>
      <c r="H46" s="9"/>
      <c r="I46" s="12"/>
    </row>
    <row r="47" spans="1:17" x14ac:dyDescent="0.35">
      <c r="A47" s="28" t="s">
        <v>87</v>
      </c>
      <c r="B47" s="17" t="s">
        <v>88</v>
      </c>
      <c r="C47" s="18" t="s">
        <v>66</v>
      </c>
      <c r="D47" s="9"/>
      <c r="E47" s="9"/>
      <c r="F47" s="9"/>
      <c r="G47" s="9"/>
      <c r="H47" s="9"/>
      <c r="I47" s="12"/>
    </row>
    <row r="48" spans="1:17" x14ac:dyDescent="0.35">
      <c r="A48" s="20">
        <f>IF(OR(E3="SB",E3="SBSL"),IF(A3&gt;0,A3,IF(B3&gt;0,B3,IF(C3&gt;0,C3,IF(D3&gt;0,D3,0)))),0)</f>
        <v>0</v>
      </c>
      <c r="B48" s="21">
        <f>(TRUNC(A48,0))</f>
        <v>0</v>
      </c>
      <c r="C48" s="22">
        <f>TRUNC((B48*0.1189),2)</f>
        <v>0</v>
      </c>
      <c r="D48" s="9"/>
      <c r="E48" s="9"/>
      <c r="F48" s="9"/>
      <c r="G48" s="9"/>
      <c r="H48" s="9"/>
      <c r="I48" s="12"/>
    </row>
    <row r="49" spans="1:12" x14ac:dyDescent="0.35">
      <c r="A49" s="8"/>
      <c r="B49" s="9"/>
      <c r="C49" s="9"/>
      <c r="D49" s="9"/>
      <c r="E49" s="9"/>
      <c r="F49" s="9"/>
      <c r="G49" s="9"/>
      <c r="H49" s="9"/>
      <c r="I49" s="12"/>
    </row>
    <row r="50" spans="1:12" x14ac:dyDescent="0.35">
      <c r="A50" s="14" t="s">
        <v>109</v>
      </c>
      <c r="B50" s="25"/>
      <c r="C50" s="25"/>
      <c r="D50" s="9"/>
      <c r="E50" s="9"/>
      <c r="F50" s="9"/>
      <c r="G50" s="9"/>
      <c r="H50" s="9"/>
      <c r="I50" s="12"/>
    </row>
    <row r="51" spans="1:12" x14ac:dyDescent="0.35">
      <c r="A51" s="16" t="s">
        <v>87</v>
      </c>
      <c r="B51" s="17" t="s">
        <v>88</v>
      </c>
      <c r="C51" s="18" t="s">
        <v>53</v>
      </c>
      <c r="D51" s="9"/>
      <c r="E51" s="9"/>
      <c r="F51" s="9"/>
      <c r="G51" s="9"/>
      <c r="H51" s="9"/>
      <c r="I51" s="12"/>
    </row>
    <row r="52" spans="1:12" x14ac:dyDescent="0.35">
      <c r="A52" s="20">
        <f>IF(E3="SBSL",IF(A3&gt;0,A3,IF(B3&gt;0,B3,IF(C3&gt;0,C3,IF(D3&gt;0,D3,0)))),0)</f>
        <v>0</v>
      </c>
      <c r="B52" s="21">
        <f>TRUNC(A52,0)</f>
        <v>0</v>
      </c>
      <c r="C52" s="22">
        <f>TRUNC(B52*0.12,2)</f>
        <v>0</v>
      </c>
      <c r="D52" s="9"/>
      <c r="E52" s="9"/>
      <c r="F52" s="9"/>
      <c r="G52" s="9"/>
      <c r="H52" s="9"/>
      <c r="I52" s="12"/>
    </row>
    <row r="53" spans="1:12" x14ac:dyDescent="0.35">
      <c r="A53" s="8"/>
      <c r="B53" s="9"/>
      <c r="C53" s="9"/>
      <c r="D53" s="9"/>
      <c r="E53" s="9"/>
      <c r="F53" s="9"/>
      <c r="G53" s="9"/>
      <c r="H53" s="9"/>
      <c r="I53" s="12"/>
    </row>
    <row r="54" spans="1:12" x14ac:dyDescent="0.35">
      <c r="A54" s="14" t="s">
        <v>110</v>
      </c>
      <c r="B54" s="25"/>
      <c r="C54" s="25"/>
      <c r="D54" s="9"/>
      <c r="E54" s="9"/>
      <c r="F54" s="9"/>
      <c r="G54" s="9"/>
      <c r="H54" s="9"/>
      <c r="I54" s="12"/>
    </row>
    <row r="55" spans="1:12" x14ac:dyDescent="0.35">
      <c r="A55" s="16" t="s">
        <v>87</v>
      </c>
      <c r="B55" s="17" t="s">
        <v>88</v>
      </c>
      <c r="C55" s="18" t="s">
        <v>66</v>
      </c>
      <c r="D55" s="9"/>
      <c r="E55" s="9"/>
      <c r="F55" s="9"/>
      <c r="G55" s="9"/>
      <c r="H55" s="9"/>
      <c r="I55" s="12"/>
    </row>
    <row r="56" spans="1:12" x14ac:dyDescent="0.35">
      <c r="A56" s="20">
        <f>IF(E3="EDW",IF(A3&gt;0,A3,IF(B3&gt;0,B3,IF(C3&gt;0,C3,IF(D3&gt;0,D3,0)))),0)</f>
        <v>0</v>
      </c>
      <c r="B56" s="21">
        <f>(TRUNC(A56,0))</f>
        <v>0</v>
      </c>
      <c r="C56" s="22">
        <f>TRUNC(B56*0.1889,2)</f>
        <v>0</v>
      </c>
      <c r="D56" s="9"/>
      <c r="E56" s="9"/>
      <c r="F56" s="9"/>
      <c r="G56" s="9"/>
      <c r="H56" s="9"/>
      <c r="I56" s="12"/>
    </row>
    <row r="57" spans="1:12" x14ac:dyDescent="0.35">
      <c r="A57" s="8"/>
      <c r="B57" s="9"/>
      <c r="C57" s="9"/>
      <c r="D57" s="9"/>
      <c r="E57" s="9"/>
      <c r="F57" s="9"/>
      <c r="G57" s="9"/>
      <c r="H57" s="9"/>
      <c r="I57" s="12"/>
    </row>
    <row r="58" spans="1:12" x14ac:dyDescent="0.35">
      <c r="A58" s="14" t="s">
        <v>111</v>
      </c>
      <c r="B58" s="25"/>
      <c r="C58" s="25"/>
      <c r="D58" s="9"/>
      <c r="E58" s="9"/>
      <c r="F58" s="9"/>
      <c r="G58" s="9"/>
      <c r="H58" s="9"/>
      <c r="I58" s="12"/>
    </row>
    <row r="59" spans="1:12" x14ac:dyDescent="0.35">
      <c r="A59" s="16" t="s">
        <v>87</v>
      </c>
      <c r="B59" s="17" t="s">
        <v>88</v>
      </c>
      <c r="C59" s="18" t="s">
        <v>66</v>
      </c>
      <c r="D59" s="9"/>
      <c r="E59" s="9"/>
      <c r="F59" s="9"/>
      <c r="G59" s="9"/>
      <c r="H59" s="9"/>
      <c r="I59" s="12"/>
    </row>
    <row r="60" spans="1:12" x14ac:dyDescent="0.35">
      <c r="A60" s="20">
        <f>IF(E3="CAE",IF(A3&gt;0,A3,IF(B3&gt;0,B3,IF(C3&gt;0,C3,IF(D3&gt;0,D3,0)))),0)</f>
        <v>0</v>
      </c>
      <c r="B60" s="21">
        <f>(TRUNC(A60,0))</f>
        <v>0</v>
      </c>
      <c r="C60" s="22">
        <f>TRUNC(B60*0.1889,2)</f>
        <v>0</v>
      </c>
      <c r="D60" s="9"/>
      <c r="E60" s="9"/>
      <c r="F60" s="9"/>
      <c r="G60" s="9"/>
      <c r="H60" s="9"/>
      <c r="I60" s="12"/>
    </row>
    <row r="61" spans="1:12" x14ac:dyDescent="0.35">
      <c r="A61" s="8"/>
      <c r="B61" s="9"/>
      <c r="C61" s="9"/>
      <c r="D61" s="9"/>
      <c r="E61" s="9"/>
      <c r="F61" s="9"/>
      <c r="G61" s="9"/>
      <c r="H61" s="9"/>
      <c r="I61" s="12"/>
    </row>
    <row r="62" spans="1:12" x14ac:dyDescent="0.35">
      <c r="A62" s="14" t="s">
        <v>112</v>
      </c>
      <c r="B62" s="25"/>
      <c r="C62" s="25"/>
      <c r="D62" s="9"/>
      <c r="E62" s="9"/>
      <c r="F62" s="9"/>
      <c r="G62" s="9"/>
      <c r="H62" s="9"/>
      <c r="I62" s="12"/>
    </row>
    <row r="63" spans="1:12" x14ac:dyDescent="0.35">
      <c r="A63" s="16" t="s">
        <v>87</v>
      </c>
      <c r="B63" s="17" t="s">
        <v>88</v>
      </c>
      <c r="C63" s="18" t="s">
        <v>66</v>
      </c>
      <c r="D63" s="9"/>
      <c r="E63" s="9"/>
      <c r="F63" s="9"/>
      <c r="G63" s="9"/>
      <c r="H63" s="9"/>
      <c r="I63" s="12"/>
      <c r="L63" s="45"/>
    </row>
    <row r="64" spans="1:12" x14ac:dyDescent="0.35">
      <c r="A64" s="20">
        <f>IF(E3="ND",IF(A3&gt;0,A3,IF(B3&gt;0,B3,IF(C3&gt;0,C3,IF(D3&gt;0,D3,0)))),0)</f>
        <v>0</v>
      </c>
      <c r="B64" s="21">
        <f>(TRUNC(A64,0))</f>
        <v>0</v>
      </c>
      <c r="C64" s="22">
        <f>TRUNC(B64*0.4639,2)</f>
        <v>0</v>
      </c>
      <c r="D64" s="9"/>
      <c r="E64" s="9"/>
      <c r="F64" s="9"/>
      <c r="G64" s="9"/>
      <c r="H64" s="9"/>
      <c r="I64" s="12"/>
      <c r="L64" s="45"/>
    </row>
    <row r="65" spans="1:10" x14ac:dyDescent="0.35">
      <c r="A65" s="8"/>
      <c r="B65" s="9"/>
      <c r="C65" s="9"/>
      <c r="D65" s="9"/>
      <c r="E65" s="9"/>
      <c r="F65" s="9"/>
      <c r="G65" s="9"/>
      <c r="H65" s="9"/>
      <c r="I65" s="12"/>
    </row>
    <row r="66" spans="1:10" x14ac:dyDescent="0.35">
      <c r="A66" s="14" t="s">
        <v>113</v>
      </c>
      <c r="B66" s="15"/>
      <c r="C66" s="15"/>
      <c r="D66" s="9"/>
      <c r="E66" s="9"/>
      <c r="F66" s="9"/>
      <c r="G66" s="9"/>
      <c r="H66" s="9"/>
      <c r="I66" s="12"/>
    </row>
    <row r="67" spans="1:10" x14ac:dyDescent="0.35">
      <c r="A67" s="16" t="s">
        <v>9</v>
      </c>
      <c r="B67" s="17" t="s">
        <v>88</v>
      </c>
      <c r="C67" s="17" t="s">
        <v>114</v>
      </c>
      <c r="D67" s="17" t="s">
        <v>78</v>
      </c>
      <c r="E67" s="17" t="s">
        <v>79</v>
      </c>
      <c r="F67" s="17" t="s">
        <v>115</v>
      </c>
      <c r="G67" s="17" t="s">
        <v>80</v>
      </c>
      <c r="H67" s="17" t="s">
        <v>81</v>
      </c>
      <c r="I67" s="29" t="s">
        <v>66</v>
      </c>
    </row>
    <row r="68" spans="1:10" x14ac:dyDescent="0.35">
      <c r="A68" s="20">
        <f>IF(OR($E$3="ME",$E$3="MESL"),IF($A$3&gt;0,$A$3,IF($B$3&gt;0,$B$3,IF($C$3&gt;0,$C$3,IF($D$3&gt;0,$D$3,0)))),0)</f>
        <v>0</v>
      </c>
      <c r="B68" s="21">
        <f>IF($A$3&gt;0,A68*12,IF($B$3&gt;0,A68*26,IF($C$3&gt;0,A68*13,IF($D$3&gt;0,A68*52,0))))</f>
        <v>0</v>
      </c>
      <c r="C68" s="21">
        <f>TRUNC(B68,0)</f>
        <v>0</v>
      </c>
      <c r="D68" s="21">
        <f>IF(C68&lt;=14000,(C68*0.105),IF(C68&lt;=48000,(C68*0.175)-980,IF(C68&lt;=70000,(C68*0.3)-6980,IF(C68&gt;70000,(C68*0.33)-9080,0))))</f>
        <v>0</v>
      </c>
      <c r="E68" s="21">
        <f>IF(C68&lt;=N4,C68*N3,IF(C68&gt;=N4,N5,0))</f>
        <v>0</v>
      </c>
      <c r="F68" s="21">
        <v>0</v>
      </c>
      <c r="G68" s="21">
        <f>(D68+E68)-F68</f>
        <v>0</v>
      </c>
      <c r="H68" s="21">
        <f>TRUNC(G68/52,2)</f>
        <v>0</v>
      </c>
      <c r="I68" s="30">
        <f>TRUNC(IF(A3&gt;0,(H68*52)/12,IF(B3&gt;0,(H68*52)/26,IF(C3&gt;0,(H68*52)/13,IF(D3&gt;0,H68,0)))),2)</f>
        <v>0</v>
      </c>
    </row>
    <row r="69" spans="1:10" x14ac:dyDescent="0.35">
      <c r="A69" s="8"/>
      <c r="B69" s="9"/>
      <c r="C69" s="9"/>
      <c r="D69" s="9"/>
      <c r="E69" s="9"/>
      <c r="F69" s="9"/>
      <c r="G69" s="10"/>
      <c r="H69" s="9"/>
      <c r="I69" s="12"/>
      <c r="J69" s="44"/>
    </row>
    <row r="70" spans="1:10" x14ac:dyDescent="0.35">
      <c r="A70" s="14" t="s">
        <v>116</v>
      </c>
      <c r="B70" s="15"/>
      <c r="C70" s="15"/>
      <c r="D70" s="9"/>
      <c r="E70" s="9"/>
      <c r="F70" s="9"/>
      <c r="G70" s="9"/>
      <c r="H70" s="9"/>
      <c r="I70" s="12"/>
    </row>
    <row r="71" spans="1:10" x14ac:dyDescent="0.35">
      <c r="A71" s="16" t="s">
        <v>87</v>
      </c>
      <c r="B71" s="17" t="s">
        <v>88</v>
      </c>
      <c r="C71" s="17" t="s">
        <v>89</v>
      </c>
      <c r="D71" s="18" t="s">
        <v>53</v>
      </c>
      <c r="E71" s="9"/>
      <c r="F71" s="9"/>
      <c r="G71" s="9"/>
      <c r="H71" s="9"/>
      <c r="I71" s="12"/>
    </row>
    <row r="72" spans="1:10" x14ac:dyDescent="0.35">
      <c r="A72" s="20">
        <f>IF(E3="MESL",IF(A3&gt;0,A3,IF(B3&gt;0,B3,IF(C3&gt;0,C3,IF(D3&gt;0,D3,0)))),0)</f>
        <v>0</v>
      </c>
      <c r="B72" s="21">
        <f>TRUNC(A72,0)</f>
        <v>0</v>
      </c>
      <c r="C72" s="21">
        <f>IF(E3="MESL",(N7/F3),0)</f>
        <v>0</v>
      </c>
      <c r="D72" s="22">
        <f>TRUNC(IF(B72&lt;C72,0,IF(B72&gt;C72,(B72-C72)*0.12,0)),2)</f>
        <v>0</v>
      </c>
      <c r="E72" s="9"/>
      <c r="F72" s="9"/>
      <c r="G72" s="9"/>
      <c r="H72" s="9"/>
      <c r="I72" s="12"/>
    </row>
    <row r="73" spans="1:10" x14ac:dyDescent="0.35">
      <c r="A73" s="8"/>
      <c r="B73" s="9"/>
      <c r="C73" s="9"/>
      <c r="D73" s="9"/>
      <c r="E73" s="9"/>
      <c r="F73" s="9"/>
      <c r="G73" s="9"/>
      <c r="H73" s="9"/>
      <c r="I73" s="12"/>
    </row>
    <row r="74" spans="1:10" x14ac:dyDescent="0.35">
      <c r="A74" s="14" t="s">
        <v>117</v>
      </c>
      <c r="B74" s="25"/>
      <c r="C74" s="25"/>
      <c r="D74" s="9"/>
      <c r="E74" s="9"/>
      <c r="F74" s="9"/>
      <c r="G74" s="9"/>
      <c r="H74" s="9"/>
      <c r="I74" s="12"/>
    </row>
    <row r="75" spans="1:10" x14ac:dyDescent="0.35">
      <c r="A75" s="16" t="s">
        <v>87</v>
      </c>
      <c r="B75" s="17" t="s">
        <v>88</v>
      </c>
      <c r="C75" s="18" t="s">
        <v>66</v>
      </c>
      <c r="D75" s="9"/>
      <c r="E75" s="9"/>
      <c r="F75" s="9"/>
      <c r="G75" s="9"/>
      <c r="H75" s="9"/>
      <c r="I75" s="12"/>
    </row>
    <row r="76" spans="1:10" ht="15" thickBot="1" x14ac:dyDescent="0.4">
      <c r="A76" s="31">
        <f>IF(E3="NSW",IF(A3&gt;0,A3,IF(B3&gt;0,B3,IF(C3&gt;0,C3,IF(D3&gt;0,D3,0)))),0)</f>
        <v>0</v>
      </c>
      <c r="B76" s="32">
        <f>(TRUNC(A76,0))</f>
        <v>0</v>
      </c>
      <c r="C76" s="33">
        <f>TRUNC(B76*0.1189,2)</f>
        <v>0</v>
      </c>
      <c r="D76" s="34"/>
      <c r="E76" s="35"/>
      <c r="F76" s="35"/>
      <c r="G76" s="34"/>
      <c r="H76" s="34"/>
      <c r="I76" s="36"/>
    </row>
  </sheetData>
  <mergeCells count="1">
    <mergeCell ref="A1:I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DACA2-DD96-4D30-A11A-A16569348124}">
  <sheetPr codeName="Sheet4"/>
  <dimension ref="A1:A5"/>
  <sheetViews>
    <sheetView workbookViewId="0">
      <selection activeCell="L1" sqref="L1:Q7"/>
    </sheetView>
  </sheetViews>
  <sheetFormatPr defaultRowHeight="14.5" x14ac:dyDescent="0.35"/>
  <sheetData>
    <row r="1" spans="1:1" x14ac:dyDescent="0.35">
      <c r="A1" s="49">
        <v>0.03</v>
      </c>
    </row>
    <row r="2" spans="1:1" x14ac:dyDescent="0.35">
      <c r="A2" s="49">
        <v>0.04</v>
      </c>
    </row>
    <row r="3" spans="1:1" x14ac:dyDescent="0.35">
      <c r="A3" s="49">
        <v>0.06</v>
      </c>
    </row>
    <row r="4" spans="1:1" x14ac:dyDescent="0.35">
      <c r="A4" s="49">
        <v>0.08</v>
      </c>
    </row>
    <row r="5" spans="1:1" x14ac:dyDescent="0.35">
      <c r="A5" s="49">
        <v>0.1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8C148-8F6B-4451-9CAF-FC89BB292FC7}">
  <sheetPr codeName="Sheet5"/>
  <dimension ref="A1:A18"/>
  <sheetViews>
    <sheetView workbookViewId="0">
      <selection activeCell="L1" sqref="L1:Q7"/>
    </sheetView>
  </sheetViews>
  <sheetFormatPr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13</v>
      </c>
    </row>
    <row r="4" spans="1:1" x14ac:dyDescent="0.35">
      <c r="A4" t="s">
        <v>120</v>
      </c>
    </row>
    <row r="5" spans="1:1" x14ac:dyDescent="0.35">
      <c r="A5" t="s">
        <v>121</v>
      </c>
    </row>
    <row r="6" spans="1:1" x14ac:dyDescent="0.35">
      <c r="A6" t="s">
        <v>122</v>
      </c>
    </row>
    <row r="7" spans="1:1" x14ac:dyDescent="0.35">
      <c r="A7" t="s">
        <v>123</v>
      </c>
    </row>
    <row r="8" spans="1:1" x14ac:dyDescent="0.35">
      <c r="A8" t="s">
        <v>124</v>
      </c>
    </row>
    <row r="9" spans="1:1" x14ac:dyDescent="0.35">
      <c r="A9" t="s">
        <v>125</v>
      </c>
    </row>
    <row r="10" spans="1:1" x14ac:dyDescent="0.35">
      <c r="A10" t="s">
        <v>126</v>
      </c>
    </row>
    <row r="11" spans="1:1" x14ac:dyDescent="0.35">
      <c r="A11" t="s">
        <v>127</v>
      </c>
    </row>
    <row r="12" spans="1:1" x14ac:dyDescent="0.35">
      <c r="A12" t="s">
        <v>128</v>
      </c>
    </row>
    <row r="13" spans="1:1" x14ac:dyDescent="0.35">
      <c r="A13" t="s">
        <v>129</v>
      </c>
    </row>
    <row r="14" spans="1:1" x14ac:dyDescent="0.35">
      <c r="A14" t="s">
        <v>130</v>
      </c>
    </row>
    <row r="15" spans="1:1" x14ac:dyDescent="0.35">
      <c r="A15" t="s">
        <v>131</v>
      </c>
    </row>
    <row r="16" spans="1:1" x14ac:dyDescent="0.35">
      <c r="A16" t="s">
        <v>132</v>
      </c>
    </row>
    <row r="17" spans="1:1" x14ac:dyDescent="0.35">
      <c r="A17" t="s">
        <v>133</v>
      </c>
    </row>
    <row r="18" spans="1:1" x14ac:dyDescent="0.35">
      <c r="A18" t="s">
        <v>134</v>
      </c>
    </row>
  </sheetData>
  <sortState xmlns:xlrd2="http://schemas.microsoft.com/office/spreadsheetml/2017/richdata2" ref="A1:A18">
    <sortCondition ref="A1:A1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315B-46FA-4866-820F-99C81DEA2077}">
  <sheetPr codeName="Sheet6"/>
  <dimension ref="A1:A3"/>
  <sheetViews>
    <sheetView workbookViewId="0">
      <selection activeCell="L1" sqref="L1:Q7"/>
    </sheetView>
  </sheetViews>
  <sheetFormatPr defaultRowHeight="14.5" x14ac:dyDescent="0.35"/>
  <sheetData>
    <row r="1" spans="1:1" x14ac:dyDescent="0.35">
      <c r="A1" t="s">
        <v>9</v>
      </c>
    </row>
    <row r="2" spans="1:1" x14ac:dyDescent="0.35">
      <c r="A2" t="s">
        <v>63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Payslip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Fisher</dc:creator>
  <cp:keywords/>
  <dc:description/>
  <cp:lastModifiedBy>Julia Fisher</cp:lastModifiedBy>
  <cp:revision/>
  <dcterms:created xsi:type="dcterms:W3CDTF">2020-12-27T07:33:51Z</dcterms:created>
  <dcterms:modified xsi:type="dcterms:W3CDTF">2022-05-12T00:03:45Z</dcterms:modified>
  <cp:category/>
  <cp:contentStatus/>
</cp:coreProperties>
</file>